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autoCompressPictures="0"/>
  <mc:AlternateContent xmlns:mc="http://schemas.openxmlformats.org/markup-compatibility/2006">
    <mc:Choice Requires="x15">
      <x15ac:absPath xmlns:x15ac="http://schemas.microsoft.com/office/spreadsheetml/2010/11/ac" url="\\Mac\Dropbox\51_writing order\2022Y Travel Vision\"/>
    </mc:Choice>
  </mc:AlternateContent>
  <xr:revisionPtr revIDLastSave="0" documentId="13_ncr:1_{BC8A6C82-EC35-40D1-808D-D8C363677B9D}" xr6:coauthVersionLast="47" xr6:coauthVersionMax="47" xr10:uidLastSave="{00000000-0000-0000-0000-000000000000}"/>
  <bookViews>
    <workbookView xWindow="-98" yWindow="-98" windowWidth="21795" windowHeight="13096" xr2:uid="{00000000-000D-0000-FFFF-FFFF00000000}"/>
  </bookViews>
  <sheets>
    <sheet name="index" sheetId="1" r:id="rId1"/>
    <sheet name="Summary" sheetId="8" r:id="rId2"/>
    <sheet name="101 LS LY" sheetId="2" r:id="rId3"/>
    <sheet name="111 LS CS1" sheetId="3" r:id="rId4"/>
    <sheet name="112 LS CS2" sheetId="4" r:id="rId5"/>
    <sheet name="113 LS CS3" sheetId="5" r:id="rId6"/>
    <sheet name="114 LS CS4" sheetId="6" r:id="rId7"/>
    <sheet name="115 LS CS5" sheetId="7"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U9" i="8" l="1"/>
  <c r="T9" i="8"/>
  <c r="S9" i="8"/>
  <c r="R9" i="8"/>
  <c r="Q9" i="8"/>
  <c r="U3" i="8"/>
  <c r="U1" i="8"/>
  <c r="O3" i="4" l="1"/>
  <c r="O3" i="5"/>
  <c r="O3" i="6"/>
  <c r="O3" i="7"/>
  <c r="O3" i="3"/>
  <c r="O3" i="2"/>
  <c r="O1" i="3" l="1"/>
  <c r="O1" i="4"/>
  <c r="O1" i="5"/>
  <c r="O1" i="6"/>
  <c r="O1" i="7"/>
  <c r="O1" i="2"/>
  <c r="J6" i="8"/>
  <c r="H35" i="8"/>
  <c r="H34" i="8"/>
  <c r="H33" i="8"/>
  <c r="H11" i="8"/>
  <c r="H8" i="8"/>
  <c r="G35" i="8"/>
  <c r="G34" i="8"/>
  <c r="G33" i="8"/>
  <c r="G11" i="8"/>
  <c r="F35" i="8"/>
  <c r="F34" i="8"/>
  <c r="F33" i="8"/>
  <c r="F11" i="8"/>
  <c r="E35" i="8"/>
  <c r="E34" i="8"/>
  <c r="E33" i="8"/>
  <c r="E11" i="8"/>
  <c r="D35" i="8"/>
  <c r="D34" i="8"/>
  <c r="D33" i="8"/>
  <c r="D11" i="8"/>
  <c r="H6" i="8"/>
  <c r="O6" i="8" s="1"/>
  <c r="U6" i="8" s="1"/>
  <c r="G6" i="8"/>
  <c r="N6" i="8" s="1"/>
  <c r="T6" i="8" s="1"/>
  <c r="F6" i="8"/>
  <c r="M6" i="8" s="1"/>
  <c r="S6" i="8" s="1"/>
  <c r="E6" i="8"/>
  <c r="L6" i="8" s="1"/>
  <c r="R6" i="8" s="1"/>
  <c r="D6" i="8"/>
  <c r="K6" i="8" s="1"/>
  <c r="Q6" i="8" s="1"/>
  <c r="C8" i="8"/>
  <c r="C11" i="8"/>
  <c r="C33" i="8"/>
  <c r="C34" i="8"/>
  <c r="C35" i="8"/>
  <c r="C7" i="8"/>
  <c r="C8" i="5"/>
  <c r="F8" i="8" s="1"/>
  <c r="S8" i="8" s="1"/>
  <c r="C7" i="5"/>
  <c r="F7" i="8" s="1"/>
  <c r="S7" i="8" s="1"/>
  <c r="C8" i="6"/>
  <c r="G8" i="8" s="1"/>
  <c r="T8" i="8" s="1"/>
  <c r="C7" i="6"/>
  <c r="G7" i="8" s="1"/>
  <c r="T7" i="8" s="1"/>
  <c r="C8" i="7"/>
  <c r="C7" i="7"/>
  <c r="H7" i="8" s="1"/>
  <c r="U7" i="8" s="1"/>
  <c r="C8" i="4"/>
  <c r="E8" i="8" s="1"/>
  <c r="R8" i="8" s="1"/>
  <c r="C7" i="4"/>
  <c r="E7" i="8" s="1"/>
  <c r="R7" i="8" s="1"/>
  <c r="K98" i="7"/>
  <c r="H98" i="7"/>
  <c r="F98" i="7"/>
  <c r="K97" i="7"/>
  <c r="H97" i="7"/>
  <c r="F97" i="7"/>
  <c r="E97" i="7"/>
  <c r="K96" i="7"/>
  <c r="H96" i="7"/>
  <c r="F96" i="7"/>
  <c r="E96" i="7"/>
  <c r="K95" i="7"/>
  <c r="H95" i="7"/>
  <c r="F95" i="7"/>
  <c r="E95" i="7"/>
  <c r="K94" i="7"/>
  <c r="H94" i="7"/>
  <c r="F94" i="7"/>
  <c r="E94" i="7"/>
  <c r="K93" i="7"/>
  <c r="H93" i="7"/>
  <c r="F93" i="7"/>
  <c r="E93" i="7"/>
  <c r="K92" i="7"/>
  <c r="H92" i="7"/>
  <c r="F92" i="7"/>
  <c r="E92" i="7"/>
  <c r="K91" i="7"/>
  <c r="H91" i="7"/>
  <c r="F91" i="7"/>
  <c r="E91" i="7"/>
  <c r="K90" i="7"/>
  <c r="H90" i="7"/>
  <c r="F90" i="7"/>
  <c r="E90" i="7"/>
  <c r="K89" i="7"/>
  <c r="H89" i="7"/>
  <c r="F89" i="7"/>
  <c r="E89" i="7"/>
  <c r="K88" i="7"/>
  <c r="H88" i="7"/>
  <c r="F88" i="7"/>
  <c r="E88" i="7"/>
  <c r="K87" i="7"/>
  <c r="H87" i="7"/>
  <c r="F87" i="7"/>
  <c r="E87" i="7"/>
  <c r="K86" i="7"/>
  <c r="H86" i="7"/>
  <c r="F86" i="7"/>
  <c r="E86" i="7"/>
  <c r="K85" i="7"/>
  <c r="H85" i="7"/>
  <c r="F85" i="7"/>
  <c r="K84" i="7"/>
  <c r="H84" i="7"/>
  <c r="F84" i="7"/>
  <c r="K83" i="7"/>
  <c r="H83" i="7"/>
  <c r="F83" i="7"/>
  <c r="K82" i="7"/>
  <c r="H82" i="7"/>
  <c r="F82" i="7"/>
  <c r="K81" i="7"/>
  <c r="H81" i="7"/>
  <c r="F81" i="7"/>
  <c r="K80" i="7"/>
  <c r="H80" i="7"/>
  <c r="F80" i="7"/>
  <c r="K79" i="7"/>
  <c r="H79" i="7"/>
  <c r="F79" i="7"/>
  <c r="K78" i="7"/>
  <c r="H78" i="7"/>
  <c r="F78" i="7"/>
  <c r="K77" i="7"/>
  <c r="H77" i="7"/>
  <c r="F77" i="7"/>
  <c r="K76" i="7"/>
  <c r="H76" i="7"/>
  <c r="F76" i="7"/>
  <c r="K75" i="7"/>
  <c r="H75" i="7"/>
  <c r="F75" i="7"/>
  <c r="K74" i="7"/>
  <c r="H74" i="7"/>
  <c r="F74" i="7"/>
  <c r="M68" i="7"/>
  <c r="K68" i="7"/>
  <c r="I68" i="7"/>
  <c r="G68" i="7"/>
  <c r="N68" i="7" s="1"/>
  <c r="G67" i="7"/>
  <c r="G66" i="7"/>
  <c r="N66" i="7" s="1"/>
  <c r="F64" i="7"/>
  <c r="M62" i="7"/>
  <c r="K62" i="7"/>
  <c r="I62" i="7"/>
  <c r="G62" i="7"/>
  <c r="G61" i="7"/>
  <c r="G60" i="7"/>
  <c r="N60" i="7" s="1"/>
  <c r="G58" i="7" s="1"/>
  <c r="C17" i="7" s="1"/>
  <c r="H16" i="8" s="1"/>
  <c r="F58" i="7"/>
  <c r="I55" i="7"/>
  <c r="G55" i="7"/>
  <c r="J55" i="7" s="1"/>
  <c r="I54" i="7"/>
  <c r="G54" i="7"/>
  <c r="J54" i="7" s="1"/>
  <c r="I53" i="7"/>
  <c r="I56" i="7" s="1"/>
  <c r="G53" i="7"/>
  <c r="I52" i="7"/>
  <c r="G52" i="7"/>
  <c r="J52" i="7" s="1"/>
  <c r="I50" i="7"/>
  <c r="G50" i="7"/>
  <c r="J50" i="7" s="1"/>
  <c r="I49" i="7"/>
  <c r="G49" i="7"/>
  <c r="I48" i="7"/>
  <c r="G48" i="7"/>
  <c r="J48" i="7" s="1"/>
  <c r="I47" i="7"/>
  <c r="G47" i="7"/>
  <c r="J47" i="7" s="1"/>
  <c r="F45" i="7"/>
  <c r="J44" i="7"/>
  <c r="G42" i="7" s="1"/>
  <c r="C16" i="7" s="1"/>
  <c r="H15" i="8" s="1"/>
  <c r="F44" i="7"/>
  <c r="F42" i="7"/>
  <c r="K36" i="7"/>
  <c r="I36" i="7"/>
  <c r="C36" i="7"/>
  <c r="K35" i="7"/>
  <c r="I35" i="7"/>
  <c r="C35" i="7"/>
  <c r="K34" i="7"/>
  <c r="I34" i="7"/>
  <c r="C34" i="7"/>
  <c r="K33" i="7"/>
  <c r="G33" i="7"/>
  <c r="K32" i="7"/>
  <c r="G32" i="7"/>
  <c r="K31" i="7"/>
  <c r="G31" i="7"/>
  <c r="I27" i="7"/>
  <c r="G27" i="7"/>
  <c r="I26" i="7"/>
  <c r="G26" i="7"/>
  <c r="J25" i="7"/>
  <c r="L23" i="7"/>
  <c r="J23" i="7"/>
  <c r="J22" i="7"/>
  <c r="J21" i="7"/>
  <c r="I19" i="7"/>
  <c r="G19" i="7"/>
  <c r="L7" i="7"/>
  <c r="G7" i="7"/>
  <c r="C6" i="7"/>
  <c r="K98" i="6"/>
  <c r="H98" i="6"/>
  <c r="F98" i="6"/>
  <c r="K97" i="6"/>
  <c r="H97" i="6"/>
  <c r="F97" i="6"/>
  <c r="E97" i="6"/>
  <c r="K96" i="6"/>
  <c r="H96" i="6"/>
  <c r="F96" i="6"/>
  <c r="E96" i="6"/>
  <c r="K95" i="6"/>
  <c r="H95" i="6"/>
  <c r="F95" i="6"/>
  <c r="E95" i="6"/>
  <c r="K94" i="6"/>
  <c r="H94" i="6"/>
  <c r="F94" i="6"/>
  <c r="E94" i="6"/>
  <c r="K93" i="6"/>
  <c r="H93" i="6"/>
  <c r="F93" i="6"/>
  <c r="E93" i="6"/>
  <c r="K92" i="6"/>
  <c r="H92" i="6"/>
  <c r="F92" i="6"/>
  <c r="E92" i="6"/>
  <c r="K91" i="6"/>
  <c r="H91" i="6"/>
  <c r="F91" i="6"/>
  <c r="E91" i="6"/>
  <c r="K90" i="6"/>
  <c r="H90" i="6"/>
  <c r="F90" i="6"/>
  <c r="E90" i="6"/>
  <c r="K89" i="6"/>
  <c r="H89" i="6"/>
  <c r="F89" i="6"/>
  <c r="E89" i="6"/>
  <c r="K88" i="6"/>
  <c r="H88" i="6"/>
  <c r="F88" i="6"/>
  <c r="E88" i="6"/>
  <c r="K87" i="6"/>
  <c r="H87" i="6"/>
  <c r="F87" i="6"/>
  <c r="E87" i="6"/>
  <c r="K86" i="6"/>
  <c r="H86" i="6"/>
  <c r="F86" i="6"/>
  <c r="E86" i="6"/>
  <c r="K85" i="6"/>
  <c r="H85" i="6"/>
  <c r="F85" i="6"/>
  <c r="K84" i="6"/>
  <c r="H84" i="6"/>
  <c r="F84" i="6"/>
  <c r="K83" i="6"/>
  <c r="H83" i="6"/>
  <c r="F83" i="6"/>
  <c r="K82" i="6"/>
  <c r="H82" i="6"/>
  <c r="F82" i="6"/>
  <c r="K81" i="6"/>
  <c r="H81" i="6"/>
  <c r="F81" i="6"/>
  <c r="K80" i="6"/>
  <c r="H80" i="6"/>
  <c r="F80" i="6"/>
  <c r="K79" i="6"/>
  <c r="H79" i="6"/>
  <c r="F79" i="6"/>
  <c r="K78" i="6"/>
  <c r="H78" i="6"/>
  <c r="F78" i="6"/>
  <c r="K77" i="6"/>
  <c r="H77" i="6"/>
  <c r="F77" i="6"/>
  <c r="K76" i="6"/>
  <c r="H76" i="6"/>
  <c r="F76" i="6"/>
  <c r="K75" i="6"/>
  <c r="H75" i="6"/>
  <c r="F75" i="6"/>
  <c r="K74" i="6"/>
  <c r="H74" i="6"/>
  <c r="F74" i="6"/>
  <c r="M68" i="6"/>
  <c r="K68" i="6"/>
  <c r="I68" i="6"/>
  <c r="G68" i="6"/>
  <c r="N68" i="6" s="1"/>
  <c r="G67" i="6"/>
  <c r="G66" i="6"/>
  <c r="N66" i="6" s="1"/>
  <c r="F64" i="6"/>
  <c r="M62" i="6"/>
  <c r="K62" i="6"/>
  <c r="I62" i="6"/>
  <c r="G62" i="6"/>
  <c r="G61" i="6"/>
  <c r="G60" i="6"/>
  <c r="N60" i="6" s="1"/>
  <c r="G58" i="6" s="1"/>
  <c r="C17" i="6" s="1"/>
  <c r="G16" i="8" s="1"/>
  <c r="F58" i="6"/>
  <c r="I55" i="6"/>
  <c r="G55" i="6"/>
  <c r="J55" i="6" s="1"/>
  <c r="I54" i="6"/>
  <c r="G54" i="6"/>
  <c r="J54" i="6" s="1"/>
  <c r="I53" i="6"/>
  <c r="I56" i="6" s="1"/>
  <c r="G53" i="6"/>
  <c r="I52" i="6"/>
  <c r="G52" i="6"/>
  <c r="J52" i="6" s="1"/>
  <c r="I50" i="6"/>
  <c r="G50" i="6"/>
  <c r="J50" i="6" s="1"/>
  <c r="I49" i="6"/>
  <c r="G49" i="6"/>
  <c r="I48" i="6"/>
  <c r="G48" i="6"/>
  <c r="J48" i="6" s="1"/>
  <c r="I47" i="6"/>
  <c r="G47" i="6"/>
  <c r="J47" i="6" s="1"/>
  <c r="F45" i="6"/>
  <c r="J44" i="6"/>
  <c r="F44" i="6"/>
  <c r="G42" i="6"/>
  <c r="C16" i="6" s="1"/>
  <c r="G15" i="8" s="1"/>
  <c r="F42" i="6"/>
  <c r="K36" i="6"/>
  <c r="I36" i="6"/>
  <c r="C36" i="6"/>
  <c r="K35" i="6"/>
  <c r="I35" i="6"/>
  <c r="C35" i="6"/>
  <c r="K34" i="6"/>
  <c r="I34" i="6"/>
  <c r="C34" i="6"/>
  <c r="K33" i="6"/>
  <c r="G33" i="6"/>
  <c r="K32" i="6"/>
  <c r="G32" i="6"/>
  <c r="K31" i="6"/>
  <c r="G31" i="6"/>
  <c r="I27" i="6"/>
  <c r="G27" i="6"/>
  <c r="I26" i="6"/>
  <c r="G26" i="6"/>
  <c r="J25" i="6"/>
  <c r="L23" i="6"/>
  <c r="J23" i="6"/>
  <c r="J22" i="6"/>
  <c r="J21" i="6"/>
  <c r="I19" i="6"/>
  <c r="G19" i="6"/>
  <c r="L7" i="6"/>
  <c r="G7" i="6"/>
  <c r="C6" i="6"/>
  <c r="K98" i="5"/>
  <c r="H98" i="5"/>
  <c r="F98" i="5"/>
  <c r="K97" i="5"/>
  <c r="H97" i="5"/>
  <c r="F97" i="5"/>
  <c r="E97" i="5"/>
  <c r="K96" i="5"/>
  <c r="H96" i="5"/>
  <c r="F96" i="5"/>
  <c r="E96" i="5"/>
  <c r="K95" i="5"/>
  <c r="H95" i="5"/>
  <c r="F95" i="5"/>
  <c r="E95" i="5"/>
  <c r="K94" i="5"/>
  <c r="H94" i="5"/>
  <c r="F94" i="5"/>
  <c r="E94" i="5"/>
  <c r="K93" i="5"/>
  <c r="H93" i="5"/>
  <c r="F93" i="5"/>
  <c r="E93" i="5"/>
  <c r="K92" i="5"/>
  <c r="H92" i="5"/>
  <c r="F92" i="5"/>
  <c r="E92" i="5"/>
  <c r="K91" i="5"/>
  <c r="H91" i="5"/>
  <c r="F91" i="5"/>
  <c r="E91" i="5"/>
  <c r="K90" i="5"/>
  <c r="H90" i="5"/>
  <c r="F90" i="5"/>
  <c r="E90" i="5"/>
  <c r="K89" i="5"/>
  <c r="H89" i="5"/>
  <c r="F89" i="5"/>
  <c r="E89" i="5"/>
  <c r="K88" i="5"/>
  <c r="H88" i="5"/>
  <c r="F88" i="5"/>
  <c r="E88" i="5"/>
  <c r="K87" i="5"/>
  <c r="H87" i="5"/>
  <c r="F87" i="5"/>
  <c r="E87" i="5"/>
  <c r="K86" i="5"/>
  <c r="H86" i="5"/>
  <c r="F86" i="5"/>
  <c r="E86" i="5"/>
  <c r="K85" i="5"/>
  <c r="H85" i="5"/>
  <c r="F85" i="5"/>
  <c r="K84" i="5"/>
  <c r="H84" i="5"/>
  <c r="F84" i="5"/>
  <c r="K83" i="5"/>
  <c r="H83" i="5"/>
  <c r="F83" i="5"/>
  <c r="K82" i="5"/>
  <c r="H82" i="5"/>
  <c r="F82" i="5"/>
  <c r="K81" i="5"/>
  <c r="H81" i="5"/>
  <c r="F81" i="5"/>
  <c r="K80" i="5"/>
  <c r="H80" i="5"/>
  <c r="F80" i="5"/>
  <c r="K79" i="5"/>
  <c r="H79" i="5"/>
  <c r="F79" i="5"/>
  <c r="K78" i="5"/>
  <c r="H78" i="5"/>
  <c r="F78" i="5"/>
  <c r="K77" i="5"/>
  <c r="H77" i="5"/>
  <c r="F77" i="5"/>
  <c r="K76" i="5"/>
  <c r="H76" i="5"/>
  <c r="F76" i="5"/>
  <c r="K75" i="5"/>
  <c r="H75" i="5"/>
  <c r="F75" i="5"/>
  <c r="K74" i="5"/>
  <c r="H74" i="5"/>
  <c r="F74" i="5"/>
  <c r="M68" i="5"/>
  <c r="K68" i="5"/>
  <c r="I68" i="5"/>
  <c r="G68" i="5"/>
  <c r="N68" i="5" s="1"/>
  <c r="G67" i="5"/>
  <c r="G66" i="5"/>
  <c r="N66" i="5" s="1"/>
  <c r="F64" i="5"/>
  <c r="M62" i="5"/>
  <c r="K62" i="5"/>
  <c r="I62" i="5"/>
  <c r="G62" i="5"/>
  <c r="G61" i="5"/>
  <c r="G60" i="5"/>
  <c r="N60" i="5" s="1"/>
  <c r="G58" i="5" s="1"/>
  <c r="C17" i="5" s="1"/>
  <c r="F16" i="8" s="1"/>
  <c r="F58" i="5"/>
  <c r="I55" i="5"/>
  <c r="G55" i="5"/>
  <c r="J55" i="5" s="1"/>
  <c r="I54" i="5"/>
  <c r="G54" i="5"/>
  <c r="J54" i="5" s="1"/>
  <c r="I53" i="5"/>
  <c r="I56" i="5" s="1"/>
  <c r="G53" i="5"/>
  <c r="I52" i="5"/>
  <c r="G52" i="5"/>
  <c r="J52" i="5" s="1"/>
  <c r="I50" i="5"/>
  <c r="G50" i="5"/>
  <c r="J50" i="5" s="1"/>
  <c r="I49" i="5"/>
  <c r="G49" i="5"/>
  <c r="I48" i="5"/>
  <c r="G48" i="5"/>
  <c r="J48" i="5" s="1"/>
  <c r="I47" i="5"/>
  <c r="G47" i="5"/>
  <c r="J47" i="5" s="1"/>
  <c r="F45" i="5"/>
  <c r="F44" i="5"/>
  <c r="J44" i="5" s="1"/>
  <c r="G42" i="5" s="1"/>
  <c r="C16" i="5" s="1"/>
  <c r="F15" i="8" s="1"/>
  <c r="F42" i="5"/>
  <c r="K36" i="5"/>
  <c r="I36" i="5"/>
  <c r="C36" i="5"/>
  <c r="K35" i="5"/>
  <c r="I35" i="5"/>
  <c r="C35" i="5"/>
  <c r="K34" i="5"/>
  <c r="I34" i="5"/>
  <c r="C34" i="5"/>
  <c r="K33" i="5"/>
  <c r="G33" i="5"/>
  <c r="K32" i="5"/>
  <c r="G32" i="5"/>
  <c r="K31" i="5"/>
  <c r="G31" i="5"/>
  <c r="I27" i="5"/>
  <c r="G27" i="5"/>
  <c r="I26" i="5"/>
  <c r="G26" i="5"/>
  <c r="J25" i="5"/>
  <c r="L23" i="5"/>
  <c r="J23" i="5"/>
  <c r="J22" i="5"/>
  <c r="J21" i="5"/>
  <c r="I19" i="5"/>
  <c r="G19" i="5"/>
  <c r="G7" i="5"/>
  <c r="C6" i="5"/>
  <c r="K98" i="4"/>
  <c r="K97" i="4"/>
  <c r="K96" i="4"/>
  <c r="K95" i="4"/>
  <c r="K94" i="4"/>
  <c r="K93" i="4"/>
  <c r="K92" i="4"/>
  <c r="K91" i="4"/>
  <c r="K90" i="4"/>
  <c r="K89" i="4"/>
  <c r="K88" i="4"/>
  <c r="K87" i="4"/>
  <c r="K86" i="4"/>
  <c r="K85" i="4"/>
  <c r="K84" i="4"/>
  <c r="K83" i="4"/>
  <c r="K82" i="4"/>
  <c r="K81" i="4"/>
  <c r="K80" i="4"/>
  <c r="K79" i="4"/>
  <c r="K78" i="4"/>
  <c r="K77" i="4"/>
  <c r="K76" i="4"/>
  <c r="K74" i="4"/>
  <c r="K75" i="4"/>
  <c r="H98" i="4"/>
  <c r="H97" i="4"/>
  <c r="H96" i="4"/>
  <c r="H95" i="4"/>
  <c r="H94" i="4"/>
  <c r="H93" i="4"/>
  <c r="H92" i="4"/>
  <c r="H91" i="4"/>
  <c r="H90" i="4"/>
  <c r="H89" i="4"/>
  <c r="H88" i="4"/>
  <c r="H87" i="4"/>
  <c r="H86" i="4"/>
  <c r="H85" i="4"/>
  <c r="H84" i="4"/>
  <c r="H83" i="4"/>
  <c r="H82" i="4"/>
  <c r="H81" i="4"/>
  <c r="H80" i="4"/>
  <c r="H79" i="4"/>
  <c r="H78" i="4"/>
  <c r="H77" i="4"/>
  <c r="H76" i="4"/>
  <c r="H75" i="4"/>
  <c r="H74" i="4"/>
  <c r="E97" i="4"/>
  <c r="E96" i="4"/>
  <c r="E95" i="4"/>
  <c r="E94" i="4"/>
  <c r="E93" i="4"/>
  <c r="E92" i="4"/>
  <c r="E91" i="4"/>
  <c r="E90" i="4"/>
  <c r="E89" i="4"/>
  <c r="E88" i="4"/>
  <c r="E87" i="4"/>
  <c r="E86" i="4"/>
  <c r="F98" i="4"/>
  <c r="F97" i="4"/>
  <c r="F96" i="4"/>
  <c r="F95" i="4"/>
  <c r="F94" i="4"/>
  <c r="F93" i="4"/>
  <c r="F92" i="4"/>
  <c r="F91" i="4"/>
  <c r="F90" i="4"/>
  <c r="F89" i="4"/>
  <c r="F87" i="4"/>
  <c r="F86" i="4"/>
  <c r="F85" i="4"/>
  <c r="F84" i="4"/>
  <c r="F83" i="4"/>
  <c r="F82" i="4"/>
  <c r="F81" i="4"/>
  <c r="F80" i="4"/>
  <c r="F79" i="4"/>
  <c r="F78" i="4"/>
  <c r="F77" i="4"/>
  <c r="F76" i="4"/>
  <c r="F75" i="4"/>
  <c r="F74" i="4"/>
  <c r="F99" i="4" s="1"/>
  <c r="M68" i="4"/>
  <c r="I68" i="4"/>
  <c r="G68" i="4"/>
  <c r="G67" i="4"/>
  <c r="N66" i="4"/>
  <c r="M62" i="4"/>
  <c r="K62" i="4"/>
  <c r="I62" i="4"/>
  <c r="G62" i="4"/>
  <c r="G61" i="4"/>
  <c r="N60" i="4"/>
  <c r="I55" i="4"/>
  <c r="I54" i="4"/>
  <c r="I53" i="4"/>
  <c r="I52" i="4"/>
  <c r="G55" i="4"/>
  <c r="G54" i="4"/>
  <c r="J54" i="4" s="1"/>
  <c r="G53" i="4"/>
  <c r="J53" i="4" s="1"/>
  <c r="G52" i="4"/>
  <c r="J52" i="4" s="1"/>
  <c r="I50" i="4"/>
  <c r="I49" i="4"/>
  <c r="I48" i="4"/>
  <c r="I47" i="4"/>
  <c r="G50" i="4"/>
  <c r="J50" i="4" s="1"/>
  <c r="G49" i="4"/>
  <c r="G48" i="4"/>
  <c r="J48" i="4" s="1"/>
  <c r="F45" i="4"/>
  <c r="J44" i="4"/>
  <c r="K36" i="4"/>
  <c r="K35" i="4"/>
  <c r="K34" i="4"/>
  <c r="K33" i="4"/>
  <c r="K32" i="4"/>
  <c r="K31" i="4"/>
  <c r="I36" i="4"/>
  <c r="C36" i="4" s="1"/>
  <c r="I35" i="4"/>
  <c r="C35" i="4" s="1"/>
  <c r="I34" i="4"/>
  <c r="G33" i="4"/>
  <c r="G32" i="4"/>
  <c r="G31" i="4"/>
  <c r="G27" i="4"/>
  <c r="G26" i="4"/>
  <c r="I27" i="4"/>
  <c r="I26" i="4"/>
  <c r="J25" i="4"/>
  <c r="L23" i="4"/>
  <c r="J23" i="4"/>
  <c r="J22" i="4"/>
  <c r="J21" i="4"/>
  <c r="I19" i="4"/>
  <c r="G19" i="4"/>
  <c r="L7" i="4"/>
  <c r="G7" i="4"/>
  <c r="J55" i="4"/>
  <c r="I51" i="4"/>
  <c r="J49" i="4"/>
  <c r="J47" i="4"/>
  <c r="C34" i="4"/>
  <c r="C6" i="4"/>
  <c r="F88" i="3"/>
  <c r="F88" i="4" s="1"/>
  <c r="F64" i="3"/>
  <c r="F64" i="4" s="1"/>
  <c r="F58" i="3"/>
  <c r="F58" i="4" s="1"/>
  <c r="F42" i="3"/>
  <c r="F42" i="4" s="1"/>
  <c r="G7" i="3"/>
  <c r="K68" i="3" s="1"/>
  <c r="N68" i="3" s="1"/>
  <c r="C8" i="3"/>
  <c r="J99" i="3" s="1"/>
  <c r="C7" i="3"/>
  <c r="D7" i="8" s="1"/>
  <c r="Q7" i="8" s="1"/>
  <c r="C6" i="3"/>
  <c r="N66" i="3"/>
  <c r="N62" i="3"/>
  <c r="N60" i="3"/>
  <c r="I56" i="3"/>
  <c r="J55" i="3"/>
  <c r="J54" i="3"/>
  <c r="J53" i="3"/>
  <c r="J52" i="3"/>
  <c r="I51" i="3"/>
  <c r="J50" i="3"/>
  <c r="J49" i="3"/>
  <c r="J48" i="3"/>
  <c r="J47" i="3"/>
  <c r="J44" i="3"/>
  <c r="C36" i="3"/>
  <c r="C35" i="3"/>
  <c r="C34" i="3"/>
  <c r="Q33" i="8" l="1"/>
  <c r="Q35" i="8"/>
  <c r="R33" i="8"/>
  <c r="R35" i="8"/>
  <c r="S33" i="8"/>
  <c r="S35" i="8"/>
  <c r="T33" i="8"/>
  <c r="T35" i="8"/>
  <c r="U11" i="8"/>
  <c r="U34" i="8"/>
  <c r="Q11" i="8"/>
  <c r="Q34" i="8"/>
  <c r="R11" i="8"/>
  <c r="R34" i="8"/>
  <c r="S11" i="8"/>
  <c r="S34" i="8"/>
  <c r="T11" i="8"/>
  <c r="T34" i="8"/>
  <c r="U8" i="8"/>
  <c r="U33" i="8"/>
  <c r="U35" i="8"/>
  <c r="D8" i="8"/>
  <c r="Q8" i="8" s="1"/>
  <c r="J99" i="4"/>
  <c r="J7" i="5"/>
  <c r="J7" i="6"/>
  <c r="C10" i="6" s="1"/>
  <c r="G10" i="8" s="1"/>
  <c r="J7" i="7"/>
  <c r="J99" i="7"/>
  <c r="C19" i="7"/>
  <c r="H18" i="8" s="1"/>
  <c r="M23" i="7"/>
  <c r="I51" i="7"/>
  <c r="I46" i="7" s="1"/>
  <c r="J49" i="7"/>
  <c r="J46" i="7" s="1"/>
  <c r="J53" i="7"/>
  <c r="N62" i="7"/>
  <c r="G64" i="7"/>
  <c r="C18" i="7" s="1"/>
  <c r="H17" i="8" s="1"/>
  <c r="F99" i="7"/>
  <c r="J99" i="6"/>
  <c r="M23" i="6"/>
  <c r="C19" i="6"/>
  <c r="G18" i="8" s="1"/>
  <c r="I51" i="6"/>
  <c r="I46" i="6" s="1"/>
  <c r="J49" i="6"/>
  <c r="J46" i="6" s="1"/>
  <c r="J53" i="6"/>
  <c r="N62" i="6"/>
  <c r="G64" i="6"/>
  <c r="C18" i="6" s="1"/>
  <c r="G17" i="8" s="1"/>
  <c r="F99" i="6"/>
  <c r="J99" i="5"/>
  <c r="M23" i="5"/>
  <c r="C19" i="5"/>
  <c r="F18" i="8" s="1"/>
  <c r="I51" i="5"/>
  <c r="I46" i="5" s="1"/>
  <c r="J49" i="5"/>
  <c r="J46" i="5" s="1"/>
  <c r="J53" i="5"/>
  <c r="N62" i="5"/>
  <c r="G64" i="5"/>
  <c r="C18" i="5" s="1"/>
  <c r="F17" i="8" s="1"/>
  <c r="F99" i="5"/>
  <c r="F99" i="3"/>
  <c r="I56" i="4"/>
  <c r="I46" i="4" s="1"/>
  <c r="G58" i="4"/>
  <c r="C17" i="4" s="1"/>
  <c r="E16" i="8" s="1"/>
  <c r="N62" i="4"/>
  <c r="K68" i="4"/>
  <c r="N68" i="4" s="1"/>
  <c r="G64" i="4"/>
  <c r="C18" i="4" s="1"/>
  <c r="E17" i="8" s="1"/>
  <c r="J46" i="4"/>
  <c r="M23" i="4"/>
  <c r="G42" i="4"/>
  <c r="C16" i="4" s="1"/>
  <c r="E15" i="8" s="1"/>
  <c r="J7" i="4"/>
  <c r="C10" i="4" s="1"/>
  <c r="E10" i="8" s="1"/>
  <c r="G64" i="3"/>
  <c r="C18" i="3" s="1"/>
  <c r="D17" i="8" s="1"/>
  <c r="G42" i="3"/>
  <c r="C16" i="3" s="1"/>
  <c r="M23" i="3"/>
  <c r="G58" i="3"/>
  <c r="C17" i="3" s="1"/>
  <c r="D16" i="8" s="1"/>
  <c r="J7" i="3"/>
  <c r="J46" i="3"/>
  <c r="G95" i="5" l="1"/>
  <c r="J95" i="5" s="1"/>
  <c r="L95" i="5" s="1"/>
  <c r="I95" i="5" s="1"/>
  <c r="G86" i="5"/>
  <c r="J86" i="5" s="1"/>
  <c r="L86" i="5" s="1"/>
  <c r="I86" i="5" s="1"/>
  <c r="G82" i="5"/>
  <c r="J82" i="5" s="1"/>
  <c r="L82" i="5" s="1"/>
  <c r="I82" i="5" s="1"/>
  <c r="G86" i="7"/>
  <c r="J86" i="7" s="1"/>
  <c r="L86" i="7" s="1"/>
  <c r="I86" i="7" s="1"/>
  <c r="G91" i="5"/>
  <c r="J91" i="5" s="1"/>
  <c r="L91" i="5" s="1"/>
  <c r="I91" i="5" s="1"/>
  <c r="G79" i="5"/>
  <c r="J79" i="5" s="1"/>
  <c r="L79" i="5" s="1"/>
  <c r="I79" i="5" s="1"/>
  <c r="G74" i="5"/>
  <c r="J74" i="5" s="1"/>
  <c r="L74" i="5" s="1"/>
  <c r="C10" i="5"/>
  <c r="F10" i="8" s="1"/>
  <c r="G95" i="7"/>
  <c r="J95" i="7" s="1"/>
  <c r="L95" i="7" s="1"/>
  <c r="I95" i="7" s="1"/>
  <c r="G74" i="7"/>
  <c r="G97" i="5"/>
  <c r="J97" i="5" s="1"/>
  <c r="L97" i="5" s="1"/>
  <c r="I97" i="5" s="1"/>
  <c r="G93" i="5"/>
  <c r="J93" i="5" s="1"/>
  <c r="L93" i="5" s="1"/>
  <c r="I93" i="5" s="1"/>
  <c r="G89" i="5"/>
  <c r="J89" i="5" s="1"/>
  <c r="L89" i="5" s="1"/>
  <c r="I89" i="5" s="1"/>
  <c r="G83" i="5"/>
  <c r="J83" i="5" s="1"/>
  <c r="L83" i="5" s="1"/>
  <c r="I83" i="5" s="1"/>
  <c r="G75" i="5"/>
  <c r="J75" i="5" s="1"/>
  <c r="L75" i="5" s="1"/>
  <c r="I75" i="5" s="1"/>
  <c r="G78" i="5"/>
  <c r="J78" i="5" s="1"/>
  <c r="L78" i="5" s="1"/>
  <c r="I78" i="5" s="1"/>
  <c r="G98" i="5"/>
  <c r="J98" i="5" s="1"/>
  <c r="L98" i="5" s="1"/>
  <c r="I98" i="5" s="1"/>
  <c r="G91" i="7"/>
  <c r="J91" i="7" s="1"/>
  <c r="L91" i="7" s="1"/>
  <c r="I91" i="7" s="1"/>
  <c r="G79" i="7"/>
  <c r="J79" i="7" s="1"/>
  <c r="L79" i="7" s="1"/>
  <c r="I79" i="7" s="1"/>
  <c r="G82" i="7"/>
  <c r="J82" i="7" s="1"/>
  <c r="L82" i="7" s="1"/>
  <c r="I82" i="7" s="1"/>
  <c r="G91" i="6"/>
  <c r="J91" i="6" s="1"/>
  <c r="L91" i="6" s="1"/>
  <c r="I91" i="6" s="1"/>
  <c r="G96" i="5"/>
  <c r="J96" i="5" s="1"/>
  <c r="L96" i="5" s="1"/>
  <c r="I96" i="5" s="1"/>
  <c r="G94" i="5"/>
  <c r="J94" i="5" s="1"/>
  <c r="L94" i="5" s="1"/>
  <c r="I94" i="5" s="1"/>
  <c r="G92" i="5"/>
  <c r="J92" i="5" s="1"/>
  <c r="L92" i="5" s="1"/>
  <c r="I92" i="5" s="1"/>
  <c r="G90" i="5"/>
  <c r="J90" i="5" s="1"/>
  <c r="L90" i="5" s="1"/>
  <c r="I90" i="5" s="1"/>
  <c r="G87" i="5"/>
  <c r="J87" i="5" s="1"/>
  <c r="L87" i="5" s="1"/>
  <c r="I87" i="5" s="1"/>
  <c r="G85" i="5"/>
  <c r="J85" i="5" s="1"/>
  <c r="L85" i="5" s="1"/>
  <c r="I85" i="5" s="1"/>
  <c r="G81" i="5"/>
  <c r="J81" i="5" s="1"/>
  <c r="L81" i="5" s="1"/>
  <c r="I81" i="5" s="1"/>
  <c r="G77" i="5"/>
  <c r="J77" i="5" s="1"/>
  <c r="L77" i="5" s="1"/>
  <c r="I77" i="5" s="1"/>
  <c r="G76" i="5"/>
  <c r="J76" i="5" s="1"/>
  <c r="L76" i="5" s="1"/>
  <c r="I76" i="5" s="1"/>
  <c r="G80" i="5"/>
  <c r="J80" i="5" s="1"/>
  <c r="L80" i="5" s="1"/>
  <c r="I80" i="5" s="1"/>
  <c r="G84" i="5"/>
  <c r="J84" i="5" s="1"/>
  <c r="L84" i="5" s="1"/>
  <c r="I84" i="5" s="1"/>
  <c r="G97" i="7"/>
  <c r="J97" i="7" s="1"/>
  <c r="L97" i="7" s="1"/>
  <c r="I97" i="7" s="1"/>
  <c r="G93" i="7"/>
  <c r="J93" i="7" s="1"/>
  <c r="L93" i="7" s="1"/>
  <c r="I93" i="7" s="1"/>
  <c r="G89" i="7"/>
  <c r="J89" i="7" s="1"/>
  <c r="L89" i="7" s="1"/>
  <c r="I89" i="7" s="1"/>
  <c r="G83" i="7"/>
  <c r="J83" i="7" s="1"/>
  <c r="L83" i="7" s="1"/>
  <c r="I83" i="7" s="1"/>
  <c r="G75" i="7"/>
  <c r="J75" i="7" s="1"/>
  <c r="L75" i="7" s="1"/>
  <c r="I75" i="7" s="1"/>
  <c r="C10" i="7"/>
  <c r="H10" i="8" s="1"/>
  <c r="G78" i="7"/>
  <c r="J78" i="7" s="1"/>
  <c r="L78" i="7" s="1"/>
  <c r="I78" i="7" s="1"/>
  <c r="G98" i="7"/>
  <c r="J98" i="7" s="1"/>
  <c r="L98" i="7" s="1"/>
  <c r="I98" i="7" s="1"/>
  <c r="C19" i="3"/>
  <c r="D18" i="8" s="1"/>
  <c r="D15" i="8"/>
  <c r="G79" i="6"/>
  <c r="J79" i="6" s="1"/>
  <c r="L79" i="6" s="1"/>
  <c r="I79" i="6" s="1"/>
  <c r="G76" i="6"/>
  <c r="J76" i="6" s="1"/>
  <c r="L76" i="6" s="1"/>
  <c r="I76" i="6" s="1"/>
  <c r="G95" i="6"/>
  <c r="J95" i="6" s="1"/>
  <c r="L95" i="6" s="1"/>
  <c r="I95" i="6" s="1"/>
  <c r="G86" i="6"/>
  <c r="J86" i="6" s="1"/>
  <c r="L86" i="6" s="1"/>
  <c r="I86" i="6" s="1"/>
  <c r="G84" i="6"/>
  <c r="J84" i="6" s="1"/>
  <c r="L84" i="6" s="1"/>
  <c r="I84" i="6" s="1"/>
  <c r="C15" i="5"/>
  <c r="F14" i="8" s="1"/>
  <c r="G97" i="6"/>
  <c r="J97" i="6" s="1"/>
  <c r="L97" i="6" s="1"/>
  <c r="I97" i="6" s="1"/>
  <c r="G93" i="6"/>
  <c r="J93" i="6" s="1"/>
  <c r="L93" i="6" s="1"/>
  <c r="I93" i="6" s="1"/>
  <c r="G89" i="6"/>
  <c r="J89" i="6" s="1"/>
  <c r="L89" i="6" s="1"/>
  <c r="I89" i="6" s="1"/>
  <c r="G83" i="6"/>
  <c r="J83" i="6" s="1"/>
  <c r="L83" i="6" s="1"/>
  <c r="I83" i="6" s="1"/>
  <c r="G75" i="6"/>
  <c r="J75" i="6" s="1"/>
  <c r="L75" i="6" s="1"/>
  <c r="I75" i="6" s="1"/>
  <c r="G80" i="6"/>
  <c r="J80" i="6" s="1"/>
  <c r="L80" i="6" s="1"/>
  <c r="I80" i="6" s="1"/>
  <c r="G96" i="6"/>
  <c r="J96" i="6" s="1"/>
  <c r="L96" i="6" s="1"/>
  <c r="I96" i="6" s="1"/>
  <c r="G94" i="6"/>
  <c r="J94" i="6" s="1"/>
  <c r="L94" i="6" s="1"/>
  <c r="I94" i="6" s="1"/>
  <c r="G92" i="6"/>
  <c r="J92" i="6" s="1"/>
  <c r="L92" i="6" s="1"/>
  <c r="I92" i="6" s="1"/>
  <c r="G90" i="6"/>
  <c r="J90" i="6" s="1"/>
  <c r="L90" i="6" s="1"/>
  <c r="I90" i="6" s="1"/>
  <c r="G87" i="6"/>
  <c r="J87" i="6" s="1"/>
  <c r="L87" i="6" s="1"/>
  <c r="I87" i="6" s="1"/>
  <c r="G85" i="6"/>
  <c r="J85" i="6" s="1"/>
  <c r="L85" i="6" s="1"/>
  <c r="I85" i="6" s="1"/>
  <c r="G81" i="6"/>
  <c r="J81" i="6" s="1"/>
  <c r="L81" i="6" s="1"/>
  <c r="I81" i="6" s="1"/>
  <c r="G77" i="6"/>
  <c r="J77" i="6" s="1"/>
  <c r="L77" i="6" s="1"/>
  <c r="I77" i="6" s="1"/>
  <c r="C15" i="6"/>
  <c r="G14" i="8" s="1"/>
  <c r="G74" i="6"/>
  <c r="J74" i="6" s="1"/>
  <c r="L74" i="6" s="1"/>
  <c r="G78" i="6"/>
  <c r="J78" i="6" s="1"/>
  <c r="L78" i="6" s="1"/>
  <c r="I78" i="6" s="1"/>
  <c r="G82" i="6"/>
  <c r="J82" i="6" s="1"/>
  <c r="L82" i="6" s="1"/>
  <c r="I82" i="6" s="1"/>
  <c r="G98" i="6"/>
  <c r="J98" i="6" s="1"/>
  <c r="L98" i="6" s="1"/>
  <c r="I98" i="6" s="1"/>
  <c r="G96" i="7"/>
  <c r="J96" i="7" s="1"/>
  <c r="L96" i="7" s="1"/>
  <c r="I96" i="7" s="1"/>
  <c r="G94" i="7"/>
  <c r="J94" i="7" s="1"/>
  <c r="L94" i="7" s="1"/>
  <c r="I94" i="7" s="1"/>
  <c r="G92" i="7"/>
  <c r="J92" i="7" s="1"/>
  <c r="L92" i="7" s="1"/>
  <c r="I92" i="7" s="1"/>
  <c r="G90" i="7"/>
  <c r="J90" i="7" s="1"/>
  <c r="L90" i="7" s="1"/>
  <c r="I90" i="7" s="1"/>
  <c r="G87" i="7"/>
  <c r="J87" i="7" s="1"/>
  <c r="L87" i="7" s="1"/>
  <c r="I87" i="7" s="1"/>
  <c r="G85" i="7"/>
  <c r="J85" i="7" s="1"/>
  <c r="L85" i="7" s="1"/>
  <c r="I85" i="7" s="1"/>
  <c r="G81" i="7"/>
  <c r="J81" i="7" s="1"/>
  <c r="L81" i="7" s="1"/>
  <c r="I81" i="7" s="1"/>
  <c r="G77" i="7"/>
  <c r="J77" i="7" s="1"/>
  <c r="L77" i="7" s="1"/>
  <c r="I77" i="7" s="1"/>
  <c r="G76" i="7"/>
  <c r="J76" i="7" s="1"/>
  <c r="L76" i="7" s="1"/>
  <c r="I76" i="7" s="1"/>
  <c r="G80" i="7"/>
  <c r="J80" i="7" s="1"/>
  <c r="L80" i="7" s="1"/>
  <c r="I80" i="7" s="1"/>
  <c r="G84" i="7"/>
  <c r="J84" i="7" s="1"/>
  <c r="L84" i="7" s="1"/>
  <c r="I84" i="7" s="1"/>
  <c r="C15" i="7"/>
  <c r="H14" i="8" s="1"/>
  <c r="J74" i="7"/>
  <c r="L74" i="7" s="1"/>
  <c r="C12" i="6"/>
  <c r="G75" i="3"/>
  <c r="J75" i="3" s="1"/>
  <c r="L75" i="3" s="1"/>
  <c r="I75" i="3" s="1"/>
  <c r="G77" i="3"/>
  <c r="J77" i="3" s="1"/>
  <c r="L77" i="3" s="1"/>
  <c r="I77" i="3" s="1"/>
  <c r="G79" i="3"/>
  <c r="J79" i="3" s="1"/>
  <c r="L79" i="3" s="1"/>
  <c r="I79" i="3" s="1"/>
  <c r="G81" i="3"/>
  <c r="J81" i="3" s="1"/>
  <c r="L81" i="3" s="1"/>
  <c r="I81" i="3" s="1"/>
  <c r="G83" i="3"/>
  <c r="J83" i="3" s="1"/>
  <c r="L83" i="3" s="1"/>
  <c r="I83" i="3" s="1"/>
  <c r="G85" i="3"/>
  <c r="J85" i="3" s="1"/>
  <c r="L85" i="3" s="1"/>
  <c r="I85" i="3" s="1"/>
  <c r="G87" i="3"/>
  <c r="J87" i="3" s="1"/>
  <c r="G90" i="3"/>
  <c r="J90" i="3" s="1"/>
  <c r="G92" i="3"/>
  <c r="J92" i="3" s="1"/>
  <c r="G94" i="3"/>
  <c r="J94" i="3" s="1"/>
  <c r="G96" i="3"/>
  <c r="J96" i="3" s="1"/>
  <c r="G98" i="3"/>
  <c r="J98" i="3" s="1"/>
  <c r="G76" i="3"/>
  <c r="J76" i="3" s="1"/>
  <c r="L76" i="3" s="1"/>
  <c r="I76" i="3" s="1"/>
  <c r="G78" i="3"/>
  <c r="J78" i="3" s="1"/>
  <c r="L78" i="3" s="1"/>
  <c r="I78" i="3" s="1"/>
  <c r="G80" i="3"/>
  <c r="J80" i="3" s="1"/>
  <c r="L80" i="3" s="1"/>
  <c r="I80" i="3" s="1"/>
  <c r="G82" i="3"/>
  <c r="J82" i="3" s="1"/>
  <c r="L82" i="3" s="1"/>
  <c r="I82" i="3" s="1"/>
  <c r="G84" i="3"/>
  <c r="J84" i="3" s="1"/>
  <c r="L84" i="3" s="1"/>
  <c r="I84" i="3" s="1"/>
  <c r="G86" i="3"/>
  <c r="J86" i="3" s="1"/>
  <c r="L86" i="3" s="1"/>
  <c r="I86" i="3" s="1"/>
  <c r="G89" i="3"/>
  <c r="J89" i="3" s="1"/>
  <c r="G91" i="3"/>
  <c r="J91" i="3" s="1"/>
  <c r="G93" i="3"/>
  <c r="J93" i="3" s="1"/>
  <c r="G95" i="3"/>
  <c r="J95" i="3" s="1"/>
  <c r="G97" i="3"/>
  <c r="J97" i="3" s="1"/>
  <c r="G74" i="3"/>
  <c r="J74" i="3" s="1"/>
  <c r="L74" i="3" s="1"/>
  <c r="C12" i="4"/>
  <c r="C19" i="4"/>
  <c r="E18" i="8" s="1"/>
  <c r="G87" i="4"/>
  <c r="J87" i="4" s="1"/>
  <c r="L87" i="4" s="1"/>
  <c r="I87" i="4" s="1"/>
  <c r="G86" i="4"/>
  <c r="J86" i="4" s="1"/>
  <c r="L86" i="4" s="1"/>
  <c r="I86" i="4" s="1"/>
  <c r="G85" i="4"/>
  <c r="J85" i="4" s="1"/>
  <c r="L85" i="4" s="1"/>
  <c r="I85" i="4" s="1"/>
  <c r="G84" i="4"/>
  <c r="J84" i="4" s="1"/>
  <c r="L84" i="4" s="1"/>
  <c r="I84" i="4" s="1"/>
  <c r="G83" i="4"/>
  <c r="J83" i="4" s="1"/>
  <c r="L83" i="4" s="1"/>
  <c r="I83" i="4" s="1"/>
  <c r="G82" i="4"/>
  <c r="J82" i="4" s="1"/>
  <c r="L82" i="4" s="1"/>
  <c r="I82" i="4" s="1"/>
  <c r="G81" i="4"/>
  <c r="J81" i="4" s="1"/>
  <c r="L81" i="4" s="1"/>
  <c r="I81" i="4" s="1"/>
  <c r="G80" i="4"/>
  <c r="J80" i="4" s="1"/>
  <c r="L80" i="4" s="1"/>
  <c r="I80" i="4" s="1"/>
  <c r="G79" i="4"/>
  <c r="J79" i="4" s="1"/>
  <c r="L79" i="4" s="1"/>
  <c r="I79" i="4" s="1"/>
  <c r="G78" i="4"/>
  <c r="J78" i="4" s="1"/>
  <c r="L78" i="4" s="1"/>
  <c r="I78" i="4" s="1"/>
  <c r="G77" i="4"/>
  <c r="J77" i="4" s="1"/>
  <c r="L77" i="4" s="1"/>
  <c r="I77" i="4" s="1"/>
  <c r="G76" i="4"/>
  <c r="J76" i="4" s="1"/>
  <c r="L76" i="4" s="1"/>
  <c r="I76" i="4" s="1"/>
  <c r="G75" i="4"/>
  <c r="J75" i="4" s="1"/>
  <c r="L75" i="4" s="1"/>
  <c r="I75" i="4" s="1"/>
  <c r="G74" i="4"/>
  <c r="G98" i="4"/>
  <c r="J98" i="4" s="1"/>
  <c r="L98" i="4" s="1"/>
  <c r="I98" i="4" s="1"/>
  <c r="G97" i="4"/>
  <c r="J97" i="4" s="1"/>
  <c r="L97" i="4" s="1"/>
  <c r="I97" i="4" s="1"/>
  <c r="G96" i="4"/>
  <c r="J96" i="4" s="1"/>
  <c r="L96" i="4" s="1"/>
  <c r="I96" i="4" s="1"/>
  <c r="G95" i="4"/>
  <c r="J95" i="4" s="1"/>
  <c r="L95" i="4" s="1"/>
  <c r="I95" i="4" s="1"/>
  <c r="G94" i="4"/>
  <c r="J94" i="4" s="1"/>
  <c r="L94" i="4" s="1"/>
  <c r="I94" i="4" s="1"/>
  <c r="G93" i="4"/>
  <c r="J93" i="4" s="1"/>
  <c r="L93" i="4" s="1"/>
  <c r="I93" i="4" s="1"/>
  <c r="G92" i="4"/>
  <c r="J92" i="4" s="1"/>
  <c r="L92" i="4" s="1"/>
  <c r="I92" i="4" s="1"/>
  <c r="G91" i="4"/>
  <c r="J91" i="4" s="1"/>
  <c r="L91" i="4" s="1"/>
  <c r="I91" i="4" s="1"/>
  <c r="G90" i="4"/>
  <c r="J90" i="4" s="1"/>
  <c r="L90" i="4" s="1"/>
  <c r="I90" i="4" s="1"/>
  <c r="G89" i="4"/>
  <c r="J89" i="4" s="1"/>
  <c r="L89" i="4" s="1"/>
  <c r="I89" i="4" s="1"/>
  <c r="C10" i="3"/>
  <c r="D10" i="8" s="1"/>
  <c r="C12" i="5" l="1"/>
  <c r="D18" i="5" s="1"/>
  <c r="M17" i="8" s="1"/>
  <c r="G88" i="5"/>
  <c r="G99" i="5" s="1"/>
  <c r="C12" i="7"/>
  <c r="D16" i="4"/>
  <c r="L15" i="8" s="1"/>
  <c r="E12" i="8"/>
  <c r="L88" i="5"/>
  <c r="J88" i="5" s="1"/>
  <c r="D19" i="6"/>
  <c r="N18" i="8" s="1"/>
  <c r="G12" i="8"/>
  <c r="C15" i="3"/>
  <c r="D14" i="8" s="1"/>
  <c r="L88" i="6"/>
  <c r="I88" i="6" s="1"/>
  <c r="D15" i="6"/>
  <c r="N14" i="8" s="1"/>
  <c r="G88" i="6"/>
  <c r="G99" i="6" s="1"/>
  <c r="D18" i="6"/>
  <c r="N17" i="8" s="1"/>
  <c r="D19" i="4"/>
  <c r="L18" i="8" s="1"/>
  <c r="G88" i="7"/>
  <c r="G99" i="7" s="1"/>
  <c r="L88" i="7"/>
  <c r="I88" i="7" s="1"/>
  <c r="I74" i="7"/>
  <c r="I74" i="6"/>
  <c r="C33" i="6"/>
  <c r="C32" i="6"/>
  <c r="C31" i="6"/>
  <c r="D36" i="6"/>
  <c r="N35" i="8" s="1"/>
  <c r="D35" i="6"/>
  <c r="N34" i="8" s="1"/>
  <c r="D34" i="6"/>
  <c r="N33" i="8" s="1"/>
  <c r="N61" i="6"/>
  <c r="J45" i="6"/>
  <c r="D16" i="6"/>
  <c r="N15" i="8" s="1"/>
  <c r="D17" i="6"/>
  <c r="N16" i="8" s="1"/>
  <c r="C26" i="6"/>
  <c r="C27" i="6"/>
  <c r="N67" i="6"/>
  <c r="I74" i="5"/>
  <c r="G88" i="3"/>
  <c r="C15" i="4"/>
  <c r="J74" i="4"/>
  <c r="L74" i="4" s="1"/>
  <c r="G88" i="4"/>
  <c r="G99" i="4" s="1"/>
  <c r="N61" i="4"/>
  <c r="J45" i="4"/>
  <c r="N67" i="4"/>
  <c r="C33" i="4"/>
  <c r="C31" i="4"/>
  <c r="C27" i="4"/>
  <c r="C32" i="4"/>
  <c r="C26" i="4"/>
  <c r="D17" i="4"/>
  <c r="L16" i="8" s="1"/>
  <c r="D36" i="4"/>
  <c r="L35" i="8" s="1"/>
  <c r="D34" i="4"/>
  <c r="L33" i="8" s="1"/>
  <c r="D35" i="4"/>
  <c r="L34" i="8" s="1"/>
  <c r="D18" i="4"/>
  <c r="L17" i="8" s="1"/>
  <c r="I74" i="3"/>
  <c r="L90" i="3"/>
  <c r="I90" i="3" s="1"/>
  <c r="L93" i="3"/>
  <c r="I93" i="3" s="1"/>
  <c r="L91" i="3"/>
  <c r="I91" i="3" s="1"/>
  <c r="L95" i="3"/>
  <c r="I95" i="3" s="1"/>
  <c r="L96" i="3"/>
  <c r="I96" i="3" s="1"/>
  <c r="L89" i="3"/>
  <c r="I89" i="3" s="1"/>
  <c r="L92" i="3"/>
  <c r="I92" i="3" s="1"/>
  <c r="L97" i="3"/>
  <c r="I97" i="3" s="1"/>
  <c r="L98" i="3"/>
  <c r="I98" i="3" s="1"/>
  <c r="L94" i="3"/>
  <c r="I94" i="3" s="1"/>
  <c r="G99" i="3"/>
  <c r="L87" i="3"/>
  <c r="I87" i="3" s="1"/>
  <c r="C12" i="3"/>
  <c r="D12" i="8" s="1"/>
  <c r="J45" i="5" l="1"/>
  <c r="C27" i="7"/>
  <c r="D27" i="7" s="1"/>
  <c r="O26" i="8" s="1"/>
  <c r="C26" i="5"/>
  <c r="F25" i="8" s="1"/>
  <c r="D36" i="5"/>
  <c r="M35" i="8" s="1"/>
  <c r="D35" i="7"/>
  <c r="O34" i="8" s="1"/>
  <c r="N67" i="5"/>
  <c r="D34" i="5"/>
  <c r="M33" i="8" s="1"/>
  <c r="C32" i="5"/>
  <c r="F31" i="8" s="1"/>
  <c r="D16" i="7"/>
  <c r="O15" i="8" s="1"/>
  <c r="C33" i="7"/>
  <c r="D33" i="7" s="1"/>
  <c r="O32" i="8" s="1"/>
  <c r="J88" i="7"/>
  <c r="C27" i="5"/>
  <c r="F26" i="8" s="1"/>
  <c r="D17" i="5"/>
  <c r="M16" i="8" s="1"/>
  <c r="D16" i="5"/>
  <c r="M15" i="8" s="1"/>
  <c r="N61" i="5"/>
  <c r="D35" i="5"/>
  <c r="M34" i="8" s="1"/>
  <c r="C31" i="5"/>
  <c r="D31" i="5" s="1"/>
  <c r="M30" i="8" s="1"/>
  <c r="C33" i="5"/>
  <c r="D33" i="5" s="1"/>
  <c r="M32" i="8" s="1"/>
  <c r="I88" i="5"/>
  <c r="I99" i="5" s="1"/>
  <c r="N73" i="5" s="1"/>
  <c r="O73" i="5" s="1"/>
  <c r="D19" i="7"/>
  <c r="O18" i="8" s="1"/>
  <c r="N61" i="7"/>
  <c r="C31" i="7"/>
  <c r="H30" i="8" s="1"/>
  <c r="D15" i="7"/>
  <c r="O14" i="8" s="1"/>
  <c r="F12" i="8"/>
  <c r="L99" i="5"/>
  <c r="L99" i="6"/>
  <c r="N67" i="7"/>
  <c r="C26" i="7"/>
  <c r="D26" i="7" s="1"/>
  <c r="O25" i="8" s="1"/>
  <c r="D17" i="7"/>
  <c r="O16" i="8" s="1"/>
  <c r="J45" i="7"/>
  <c r="D34" i="7"/>
  <c r="O33" i="8" s="1"/>
  <c r="D36" i="7"/>
  <c r="O35" i="8" s="1"/>
  <c r="C32" i="7"/>
  <c r="H31" i="8" s="1"/>
  <c r="D15" i="5"/>
  <c r="M14" i="8" s="1"/>
  <c r="D18" i="7"/>
  <c r="O17" i="8" s="1"/>
  <c r="D19" i="5"/>
  <c r="M18" i="8" s="1"/>
  <c r="H12" i="8"/>
  <c r="D26" i="4"/>
  <c r="L25" i="8" s="1"/>
  <c r="E25" i="8"/>
  <c r="D27" i="4"/>
  <c r="L26" i="8" s="1"/>
  <c r="E26" i="8"/>
  <c r="D33" i="4"/>
  <c r="L32" i="8" s="1"/>
  <c r="E32" i="8"/>
  <c r="D27" i="5"/>
  <c r="M26" i="8" s="1"/>
  <c r="F30" i="8"/>
  <c r="F32" i="8"/>
  <c r="D27" i="6"/>
  <c r="N26" i="8" s="1"/>
  <c r="G26" i="8"/>
  <c r="D31" i="6"/>
  <c r="N30" i="8" s="1"/>
  <c r="G30" i="8"/>
  <c r="D33" i="6"/>
  <c r="N32" i="8" s="1"/>
  <c r="G32" i="8"/>
  <c r="H25" i="8"/>
  <c r="D32" i="7"/>
  <c r="O31" i="8" s="1"/>
  <c r="D32" i="4"/>
  <c r="L31" i="8" s="1"/>
  <c r="E31" i="8"/>
  <c r="D31" i="4"/>
  <c r="L30" i="8" s="1"/>
  <c r="E30" i="8"/>
  <c r="D15" i="4"/>
  <c r="L14" i="8" s="1"/>
  <c r="E14" i="8"/>
  <c r="D26" i="5"/>
  <c r="M25" i="8" s="1"/>
  <c r="D26" i="6"/>
  <c r="N25" i="8" s="1"/>
  <c r="G25" i="8"/>
  <c r="D32" i="6"/>
  <c r="N31" i="8" s="1"/>
  <c r="G31" i="8"/>
  <c r="C32" i="3"/>
  <c r="D32" i="3" s="1"/>
  <c r="K31" i="8" s="1"/>
  <c r="D16" i="3"/>
  <c r="K15" i="8" s="1"/>
  <c r="C31" i="3"/>
  <c r="D31" i="3" s="1"/>
  <c r="K30" i="8" s="1"/>
  <c r="D34" i="3"/>
  <c r="K33" i="8" s="1"/>
  <c r="N67" i="3"/>
  <c r="N61" i="3"/>
  <c r="I99" i="6"/>
  <c r="N73" i="6" s="1"/>
  <c r="O73" i="6" s="1"/>
  <c r="J88" i="6"/>
  <c r="L99" i="7"/>
  <c r="I99" i="7"/>
  <c r="N73" i="7" s="1"/>
  <c r="O73" i="7" s="1"/>
  <c r="C27" i="3"/>
  <c r="D26" i="8" s="1"/>
  <c r="C26" i="3"/>
  <c r="D17" i="3"/>
  <c r="K16" i="8" s="1"/>
  <c r="D18" i="3"/>
  <c r="K17" i="8" s="1"/>
  <c r="D36" i="3"/>
  <c r="K35" i="8" s="1"/>
  <c r="J45" i="3"/>
  <c r="D35" i="3"/>
  <c r="K34" i="8" s="1"/>
  <c r="C33" i="3"/>
  <c r="D15" i="3"/>
  <c r="K14" i="8" s="1"/>
  <c r="L88" i="3"/>
  <c r="I74" i="4"/>
  <c r="L88" i="4"/>
  <c r="D27" i="3"/>
  <c r="K26" i="8" s="1"/>
  <c r="D19" i="3"/>
  <c r="K18" i="8" s="1"/>
  <c r="H32" i="8" l="1"/>
  <c r="D32" i="5"/>
  <c r="M31" i="8" s="1"/>
  <c r="H26" i="8"/>
  <c r="D31" i="7"/>
  <c r="O30" i="8" s="1"/>
  <c r="H99" i="5"/>
  <c r="H99" i="7"/>
  <c r="H99" i="6"/>
  <c r="D31" i="8"/>
  <c r="D30" i="8"/>
  <c r="D33" i="3"/>
  <c r="K32" i="8" s="1"/>
  <c r="D32" i="8"/>
  <c r="D26" i="3"/>
  <c r="K25" i="8" s="1"/>
  <c r="D25" i="8"/>
  <c r="I88" i="4"/>
  <c r="I99" i="4" s="1"/>
  <c r="J88" i="4"/>
  <c r="L99" i="4"/>
  <c r="I88" i="3"/>
  <c r="J88" i="3"/>
  <c r="N73" i="4" l="1"/>
  <c r="O73" i="4" s="1"/>
  <c r="H99" i="4"/>
  <c r="C35" i="2" l="1"/>
  <c r="C36" i="2"/>
  <c r="C34" i="2"/>
  <c r="C23" i="2"/>
  <c r="C22" i="8" s="1"/>
  <c r="C22" i="2"/>
  <c r="C21" i="8" s="1"/>
  <c r="C21" i="2"/>
  <c r="C20" i="8" s="1"/>
  <c r="K68" i="2"/>
  <c r="N68" i="2" s="1"/>
  <c r="N66" i="2"/>
  <c r="G64" i="2" s="1"/>
  <c r="C18" i="2" s="1"/>
  <c r="C17" i="8" s="1"/>
  <c r="N62" i="2"/>
  <c r="N60" i="2"/>
  <c r="G58" i="2" s="1"/>
  <c r="C17" i="2" s="1"/>
  <c r="C16" i="8" s="1"/>
  <c r="N53" i="2"/>
  <c r="I46" i="3" s="1"/>
  <c r="I56" i="2"/>
  <c r="J55" i="2"/>
  <c r="J54" i="2"/>
  <c r="J53" i="2"/>
  <c r="J52" i="2"/>
  <c r="I51" i="2"/>
  <c r="J48" i="2"/>
  <c r="J49" i="2"/>
  <c r="J50" i="2"/>
  <c r="J47" i="2"/>
  <c r="J7" i="2"/>
  <c r="C10" i="2" s="1"/>
  <c r="C10" i="8" s="1"/>
  <c r="J76" i="1"/>
  <c r="H76" i="1"/>
  <c r="E76" i="1"/>
  <c r="R10" i="8" l="1"/>
  <c r="T10" i="8"/>
  <c r="U10" i="8"/>
  <c r="Q10" i="8"/>
  <c r="S10" i="8"/>
  <c r="U16" i="8"/>
  <c r="T16" i="8"/>
  <c r="S16" i="8"/>
  <c r="Q16" i="8"/>
  <c r="R16" i="8"/>
  <c r="R17" i="8"/>
  <c r="S17" i="8"/>
  <c r="U17" i="8"/>
  <c r="T17" i="8"/>
  <c r="Q17" i="8"/>
  <c r="C12" i="2"/>
  <c r="N67" i="2" s="1"/>
  <c r="C24" i="2"/>
  <c r="C23" i="8" s="1"/>
  <c r="L22" i="2"/>
  <c r="D36" i="2"/>
  <c r="J35" i="8" s="1"/>
  <c r="D17" i="2"/>
  <c r="J16" i="8" s="1"/>
  <c r="N61" i="2"/>
  <c r="C25" i="2"/>
  <c r="C24" i="8" s="1"/>
  <c r="L21" i="2"/>
  <c r="L23" i="2"/>
  <c r="C31" i="2"/>
  <c r="J46" i="2"/>
  <c r="J44" i="2"/>
  <c r="G42" i="2" s="1"/>
  <c r="C16" i="2" s="1"/>
  <c r="I46" i="2"/>
  <c r="D77" i="1"/>
  <c r="I79" i="1" s="1"/>
  <c r="D31" i="2" l="1"/>
  <c r="J30" i="8" s="1"/>
  <c r="C30" i="8"/>
  <c r="G23" i="3"/>
  <c r="C23" i="3" s="1"/>
  <c r="D22" i="8" s="1"/>
  <c r="Q22" i="8" s="1"/>
  <c r="G23" i="6"/>
  <c r="C23" i="6" s="1"/>
  <c r="G23" i="7"/>
  <c r="C23" i="7" s="1"/>
  <c r="G23" i="5"/>
  <c r="C23" i="5" s="1"/>
  <c r="G23" i="4"/>
  <c r="C23" i="4" s="1"/>
  <c r="G22" i="3"/>
  <c r="C22" i="3" s="1"/>
  <c r="D21" i="8" s="1"/>
  <c r="Q21" i="8" s="1"/>
  <c r="G22" i="6"/>
  <c r="C22" i="6" s="1"/>
  <c r="G22" i="4"/>
  <c r="C22" i="4" s="1"/>
  <c r="G22" i="7"/>
  <c r="C22" i="7" s="1"/>
  <c r="G22" i="5"/>
  <c r="C22" i="5" s="1"/>
  <c r="C19" i="2"/>
  <c r="C18" i="8" s="1"/>
  <c r="C15" i="8"/>
  <c r="G21" i="3"/>
  <c r="C21" i="3" s="1"/>
  <c r="D20" i="8" s="1"/>
  <c r="Q20" i="8" s="1"/>
  <c r="G21" i="6"/>
  <c r="C21" i="6" s="1"/>
  <c r="G21" i="7"/>
  <c r="C21" i="7" s="1"/>
  <c r="G21" i="5"/>
  <c r="C21" i="5" s="1"/>
  <c r="G21" i="4"/>
  <c r="C21" i="4" s="1"/>
  <c r="C33" i="2"/>
  <c r="C32" i="8" s="1"/>
  <c r="C12" i="8"/>
  <c r="D35" i="2"/>
  <c r="J34" i="8" s="1"/>
  <c r="D23" i="2"/>
  <c r="J22" i="8" s="1"/>
  <c r="D21" i="2"/>
  <c r="J20" i="8" s="1"/>
  <c r="C27" i="2"/>
  <c r="J45" i="2"/>
  <c r="C32" i="2"/>
  <c r="C31" i="8" s="1"/>
  <c r="D34" i="2"/>
  <c r="J33" i="8" s="1"/>
  <c r="D22" i="2"/>
  <c r="J21" i="8" s="1"/>
  <c r="C26" i="2"/>
  <c r="C25" i="8" s="1"/>
  <c r="D18" i="2"/>
  <c r="J17" i="8" s="1"/>
  <c r="D23" i="3"/>
  <c r="K22" i="8" s="1"/>
  <c r="D21" i="3"/>
  <c r="K20" i="8" s="1"/>
  <c r="D25" i="2"/>
  <c r="J24" i="8" s="1"/>
  <c r="L25" i="2"/>
  <c r="D24" i="2"/>
  <c r="L24" i="2"/>
  <c r="D27" i="2"/>
  <c r="J26" i="8" s="1"/>
  <c r="D26" i="2"/>
  <c r="J25" i="8" s="1"/>
  <c r="L26" i="2"/>
  <c r="D33" i="2"/>
  <c r="J32" i="8" s="1"/>
  <c r="D16" i="2"/>
  <c r="J15" i="8" s="1"/>
  <c r="R31" i="8" l="1"/>
  <c r="S31" i="8"/>
  <c r="T31" i="8"/>
  <c r="U31" i="8"/>
  <c r="Q31" i="8"/>
  <c r="Q12" i="8"/>
  <c r="R12" i="8"/>
  <c r="T12" i="8"/>
  <c r="U12" i="8"/>
  <c r="S12" i="8"/>
  <c r="T25" i="8"/>
  <c r="S25" i="8"/>
  <c r="U25" i="8"/>
  <c r="R25" i="8"/>
  <c r="Q25" i="8"/>
  <c r="S32" i="8"/>
  <c r="R32" i="8"/>
  <c r="T32" i="8"/>
  <c r="U32" i="8"/>
  <c r="Q32" i="8"/>
  <c r="S15" i="8"/>
  <c r="T15" i="8"/>
  <c r="U15" i="8"/>
  <c r="R15" i="8"/>
  <c r="Q15" i="8"/>
  <c r="S30" i="8"/>
  <c r="T30" i="8"/>
  <c r="U30" i="8"/>
  <c r="R30" i="8"/>
  <c r="Q30" i="8"/>
  <c r="T18" i="8"/>
  <c r="U18" i="8"/>
  <c r="S18" i="8"/>
  <c r="R18" i="8"/>
  <c r="Q18" i="8"/>
  <c r="D22" i="3"/>
  <c r="K21" i="8" s="1"/>
  <c r="G24" i="3"/>
  <c r="G24" i="7"/>
  <c r="G24" i="5"/>
  <c r="G24" i="4"/>
  <c r="G24" i="6"/>
  <c r="G25" i="3"/>
  <c r="C25" i="3" s="1"/>
  <c r="G25" i="6"/>
  <c r="C25" i="6" s="1"/>
  <c r="G25" i="7"/>
  <c r="C25" i="7" s="1"/>
  <c r="G25" i="5"/>
  <c r="C25" i="5" s="1"/>
  <c r="G25" i="4"/>
  <c r="C25" i="4" s="1"/>
  <c r="F20" i="8"/>
  <c r="S20" i="8" s="1"/>
  <c r="D21" i="5"/>
  <c r="M20" i="8" s="1"/>
  <c r="G20" i="8"/>
  <c r="T20" i="8" s="1"/>
  <c r="D21" i="6"/>
  <c r="N20" i="8" s="1"/>
  <c r="F21" i="8"/>
  <c r="S21" i="8" s="1"/>
  <c r="D22" i="5"/>
  <c r="M21" i="8" s="1"/>
  <c r="E21" i="8"/>
  <c r="R21" i="8" s="1"/>
  <c r="D22" i="4"/>
  <c r="L21" i="8" s="1"/>
  <c r="F22" i="8"/>
  <c r="S22" i="8" s="1"/>
  <c r="D23" i="5"/>
  <c r="M22" i="8" s="1"/>
  <c r="G22" i="8"/>
  <c r="T22" i="8" s="1"/>
  <c r="D23" i="6"/>
  <c r="N22" i="8" s="1"/>
  <c r="G72" i="3"/>
  <c r="N72" i="3" s="1"/>
  <c r="O72" i="3" s="1"/>
  <c r="J23" i="8"/>
  <c r="G72" i="7"/>
  <c r="N72" i="7" s="1"/>
  <c r="G72" i="6"/>
  <c r="N72" i="6" s="1"/>
  <c r="G72" i="5"/>
  <c r="N72" i="5" s="1"/>
  <c r="G72" i="4"/>
  <c r="N72" i="4" s="1"/>
  <c r="C20" i="2"/>
  <c r="C26" i="8"/>
  <c r="E20" i="8"/>
  <c r="R20" i="8" s="1"/>
  <c r="D21" i="4"/>
  <c r="L20" i="8" s="1"/>
  <c r="H20" i="8"/>
  <c r="U20" i="8" s="1"/>
  <c r="D21" i="7"/>
  <c r="O20" i="8" s="1"/>
  <c r="H21" i="8"/>
  <c r="U21" i="8" s="1"/>
  <c r="D22" i="7"/>
  <c r="O21" i="8" s="1"/>
  <c r="G21" i="8"/>
  <c r="T21" i="8" s="1"/>
  <c r="D22" i="6"/>
  <c r="N21" i="8" s="1"/>
  <c r="D23" i="4"/>
  <c r="L22" i="8" s="1"/>
  <c r="E22" i="8"/>
  <c r="R22" i="8" s="1"/>
  <c r="H22" i="8"/>
  <c r="U22" i="8" s="1"/>
  <c r="D23" i="7"/>
  <c r="O22" i="8" s="1"/>
  <c r="D25" i="3"/>
  <c r="K24" i="8" s="1"/>
  <c r="D24" i="8"/>
  <c r="Q24" i="8" s="1"/>
  <c r="L27" i="2"/>
  <c r="D32" i="2"/>
  <c r="J31" i="8" s="1"/>
  <c r="R26" i="8" l="1"/>
  <c r="Q26" i="8"/>
  <c r="T26" i="8"/>
  <c r="S26" i="8"/>
  <c r="U26" i="8"/>
  <c r="O72" i="4"/>
  <c r="G70" i="4"/>
  <c r="C24" i="4" s="1"/>
  <c r="O72" i="6"/>
  <c r="G70" i="6"/>
  <c r="C24" i="6" s="1"/>
  <c r="D25" i="4"/>
  <c r="L24" i="8" s="1"/>
  <c r="E24" i="8"/>
  <c r="R24" i="8" s="1"/>
  <c r="H24" i="8"/>
  <c r="U24" i="8" s="1"/>
  <c r="D25" i="7"/>
  <c r="O24" i="8" s="1"/>
  <c r="D20" i="2"/>
  <c r="J19" i="8" s="1"/>
  <c r="C19" i="8"/>
  <c r="O72" i="5"/>
  <c r="G70" i="5"/>
  <c r="C24" i="5" s="1"/>
  <c r="O72" i="7"/>
  <c r="G70" i="7"/>
  <c r="C24" i="7" s="1"/>
  <c r="F24" i="8"/>
  <c r="S24" i="8" s="1"/>
  <c r="D25" i="5"/>
  <c r="M24" i="8" s="1"/>
  <c r="G24" i="8"/>
  <c r="T24" i="8" s="1"/>
  <c r="D25" i="6"/>
  <c r="N24" i="8" s="1"/>
  <c r="D19" i="2"/>
  <c r="J18" i="8" s="1"/>
  <c r="C15" i="2"/>
  <c r="C14" i="8" s="1"/>
  <c r="S14" i="8" l="1"/>
  <c r="T14" i="8"/>
  <c r="U14" i="8"/>
  <c r="Q14" i="8"/>
  <c r="R14" i="8"/>
  <c r="F23" i="8"/>
  <c r="S23" i="8" s="1"/>
  <c r="D24" i="5"/>
  <c r="M23" i="8" s="1"/>
  <c r="C20" i="5"/>
  <c r="G23" i="8"/>
  <c r="T23" i="8" s="1"/>
  <c r="D24" i="6"/>
  <c r="N23" i="8" s="1"/>
  <c r="C20" i="6"/>
  <c r="E23" i="8"/>
  <c r="R23" i="8" s="1"/>
  <c r="D24" i="4"/>
  <c r="L23" i="8" s="1"/>
  <c r="C20" i="4"/>
  <c r="H23" i="8"/>
  <c r="U23" i="8" s="1"/>
  <c r="D24" i="7"/>
  <c r="O23" i="8" s="1"/>
  <c r="C20" i="7"/>
  <c r="D15" i="2"/>
  <c r="J14" i="8" s="1"/>
  <c r="C29" i="2"/>
  <c r="C28" i="8" s="1"/>
  <c r="H19" i="8" l="1"/>
  <c r="U19" i="8" s="1"/>
  <c r="D20" i="7"/>
  <c r="O19" i="8" s="1"/>
  <c r="C29" i="7"/>
  <c r="G19" i="8"/>
  <c r="T19" i="8" s="1"/>
  <c r="D20" i="6"/>
  <c r="N19" i="8" s="1"/>
  <c r="C29" i="6"/>
  <c r="C30" i="6" s="1"/>
  <c r="E19" i="8"/>
  <c r="R19" i="8" s="1"/>
  <c r="C29" i="4"/>
  <c r="D20" i="4"/>
  <c r="L19" i="8" s="1"/>
  <c r="F19" i="8"/>
  <c r="S19" i="8" s="1"/>
  <c r="C29" i="5"/>
  <c r="C30" i="5" s="1"/>
  <c r="D20" i="5"/>
  <c r="M19" i="8" s="1"/>
  <c r="D29" i="2"/>
  <c r="J28" i="8" s="1"/>
  <c r="C38" i="2"/>
  <c r="L99" i="3"/>
  <c r="D38" i="2" l="1"/>
  <c r="J37" i="8" s="1"/>
  <c r="C37" i="8"/>
  <c r="E28" i="8"/>
  <c r="C38" i="4"/>
  <c r="D29" i="4"/>
  <c r="L28" i="8" s="1"/>
  <c r="G28" i="8"/>
  <c r="C38" i="6"/>
  <c r="D29" i="6"/>
  <c r="N28" i="8" s="1"/>
  <c r="F28" i="8"/>
  <c r="D29" i="5"/>
  <c r="M28" i="8" s="1"/>
  <c r="C38" i="5"/>
  <c r="H28" i="8"/>
  <c r="C38" i="7"/>
  <c r="D29" i="7"/>
  <c r="O28" i="8" s="1"/>
  <c r="I99" i="3"/>
  <c r="H99" i="3" s="1"/>
  <c r="U28" i="8" l="1"/>
  <c r="T28" i="8"/>
  <c r="S28" i="8"/>
  <c r="R28" i="8"/>
  <c r="D38" i="7"/>
  <c r="O37" i="8" s="1"/>
  <c r="H37" i="8"/>
  <c r="U37" i="8" s="1"/>
  <c r="E37" i="8"/>
  <c r="R37" i="8" s="1"/>
  <c r="D38" i="4"/>
  <c r="L37" i="8" s="1"/>
  <c r="F37" i="8"/>
  <c r="S37" i="8" s="1"/>
  <c r="D38" i="5"/>
  <c r="M37" i="8" s="1"/>
  <c r="D38" i="6"/>
  <c r="N37" i="8" s="1"/>
  <c r="G37" i="8"/>
  <c r="T37" i="8" s="1"/>
  <c r="N73" i="3"/>
  <c r="G70" i="3" l="1"/>
  <c r="C24" i="3" s="1"/>
  <c r="D23" i="8" s="1"/>
  <c r="Q23" i="8" s="1"/>
  <c r="O73" i="3"/>
  <c r="D24" i="3" l="1"/>
  <c r="K23" i="8" s="1"/>
  <c r="C20" i="3"/>
  <c r="D19" i="8" s="1"/>
  <c r="Q19" i="8" s="1"/>
  <c r="C29" i="3" l="1"/>
  <c r="D28" i="8" s="1"/>
  <c r="D20" i="3"/>
  <c r="K19" i="8" s="1"/>
  <c r="Q28" i="8" l="1"/>
  <c r="C38" i="3"/>
  <c r="D29" i="3"/>
  <c r="K28" i="8" s="1"/>
  <c r="D38" i="3" l="1"/>
  <c r="K37" i="8" s="1"/>
  <c r="D37" i="8"/>
  <c r="Q3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堀口洋明</author>
  </authors>
  <commentList>
    <comment ref="K23" authorId="0" shapeId="0" xr:uid="{D3DAC67E-EB55-461F-AA6A-34DE0E41D999}">
      <text>
        <r>
          <rPr>
            <b/>
            <sz val="9"/>
            <color indexed="81"/>
            <rFont val="MS P ゴシック"/>
            <family val="3"/>
            <charset val="128"/>
          </rPr>
          <t>堀口洋明:</t>
        </r>
        <r>
          <rPr>
            <sz val="9"/>
            <color indexed="81"/>
            <rFont val="MS P ゴシック"/>
            <family val="3"/>
            <charset val="128"/>
          </rPr>
          <t xml:space="preserve">
客室清掃に最低稼働保証をおこなっている場合、その稼働率を設定することで、最低稼働保証に基づいた客室清掃費を下回る計算を避けることができます。</t>
        </r>
      </text>
    </comment>
    <comment ref="L88" authorId="0" shapeId="0" xr:uid="{63680227-3221-4826-9BF7-E2B7CE2EE2F7}">
      <text>
        <r>
          <rPr>
            <b/>
            <sz val="9"/>
            <color indexed="81"/>
            <rFont val="MS P ゴシック"/>
            <family val="3"/>
            <charset val="128"/>
          </rPr>
          <t>堀口洋明:</t>
        </r>
        <r>
          <rPr>
            <sz val="9"/>
            <color indexed="81"/>
            <rFont val="MS P ゴシック"/>
            <family val="3"/>
            <charset val="128"/>
          </rPr>
          <t xml:space="preserve">
合計から各チャネルの分を引いた調整はここで行っている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堀口洋明</author>
  </authors>
  <commentList>
    <comment ref="K23" authorId="0" shapeId="0" xr:uid="{325C0EA3-80E9-40D3-9D32-1AEA10B1E13F}">
      <text>
        <r>
          <rPr>
            <b/>
            <sz val="9"/>
            <color indexed="81"/>
            <rFont val="MS P ゴシック"/>
            <family val="3"/>
            <charset val="128"/>
          </rPr>
          <t>堀口洋明:</t>
        </r>
        <r>
          <rPr>
            <sz val="9"/>
            <color indexed="81"/>
            <rFont val="MS P ゴシック"/>
            <family val="3"/>
            <charset val="128"/>
          </rPr>
          <t xml:space="preserve">
客室清掃に最低稼働保証をおこなっている場合、その稼働率を設定することで、最低稼働保証に基づいた客室清掃費を下回る計算を避けることができます。</t>
        </r>
      </text>
    </comment>
    <comment ref="L88" authorId="0" shapeId="0" xr:uid="{7D7B2578-215C-46D9-99E5-FBF1BD178AC8}">
      <text>
        <r>
          <rPr>
            <b/>
            <sz val="9"/>
            <color indexed="81"/>
            <rFont val="MS P ゴシック"/>
            <family val="3"/>
            <charset val="128"/>
          </rPr>
          <t>堀口洋明:</t>
        </r>
        <r>
          <rPr>
            <sz val="9"/>
            <color indexed="81"/>
            <rFont val="MS P ゴシック"/>
            <family val="3"/>
            <charset val="128"/>
          </rPr>
          <t xml:space="preserve">
合計から各チャネルの分を引いた調整はここで行っている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堀口洋明</author>
  </authors>
  <commentList>
    <comment ref="K23" authorId="0" shapeId="0" xr:uid="{F5F52CC9-5763-46F2-BC62-695FA53EC377}">
      <text>
        <r>
          <rPr>
            <b/>
            <sz val="9"/>
            <color indexed="81"/>
            <rFont val="MS P ゴシック"/>
            <family val="3"/>
            <charset val="128"/>
          </rPr>
          <t>堀口洋明:</t>
        </r>
        <r>
          <rPr>
            <sz val="9"/>
            <color indexed="81"/>
            <rFont val="MS P ゴシック"/>
            <family val="3"/>
            <charset val="128"/>
          </rPr>
          <t xml:space="preserve">
客室清掃に最低稼働保証をおこなっている場合、その稼働率を設定することで、最低稼働保証に基づいた客室清掃費を下回る計算を避けることができます。</t>
        </r>
      </text>
    </comment>
    <comment ref="L88" authorId="0" shapeId="0" xr:uid="{EFD59AEB-AD6E-4825-9F93-A00E420D36D2}">
      <text>
        <r>
          <rPr>
            <b/>
            <sz val="9"/>
            <color indexed="81"/>
            <rFont val="MS P ゴシック"/>
            <family val="3"/>
            <charset val="128"/>
          </rPr>
          <t>堀口洋明:</t>
        </r>
        <r>
          <rPr>
            <sz val="9"/>
            <color indexed="81"/>
            <rFont val="MS P ゴシック"/>
            <family val="3"/>
            <charset val="128"/>
          </rPr>
          <t xml:space="preserve">
合計から各チャネルの分を引いた調整はここで行っている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堀口洋明</author>
  </authors>
  <commentList>
    <comment ref="K23" authorId="0" shapeId="0" xr:uid="{89CD3F6D-B4D2-44D5-BA66-C2C4C867C439}">
      <text>
        <r>
          <rPr>
            <b/>
            <sz val="9"/>
            <color indexed="81"/>
            <rFont val="MS P ゴシック"/>
            <family val="3"/>
            <charset val="128"/>
          </rPr>
          <t>堀口洋明:</t>
        </r>
        <r>
          <rPr>
            <sz val="9"/>
            <color indexed="81"/>
            <rFont val="MS P ゴシック"/>
            <family val="3"/>
            <charset val="128"/>
          </rPr>
          <t xml:space="preserve">
客室清掃に最低稼働保証をおこなっている場合、その稼働率を設定することで、最低稼働保証に基づいた客室清掃費を下回る計算を避けることができます。</t>
        </r>
      </text>
    </comment>
    <comment ref="L88" authorId="0" shapeId="0" xr:uid="{173F1436-7ECE-40E8-B489-D16F5A961E2F}">
      <text>
        <r>
          <rPr>
            <b/>
            <sz val="9"/>
            <color indexed="81"/>
            <rFont val="MS P ゴシック"/>
            <family val="3"/>
            <charset val="128"/>
          </rPr>
          <t>堀口洋明:</t>
        </r>
        <r>
          <rPr>
            <sz val="9"/>
            <color indexed="81"/>
            <rFont val="MS P ゴシック"/>
            <family val="3"/>
            <charset val="128"/>
          </rPr>
          <t xml:space="preserve">
合計から各チャネルの分を引いた調整はここで行っている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堀口洋明</author>
  </authors>
  <commentList>
    <comment ref="K23" authorId="0" shapeId="0" xr:uid="{83BB63B4-E6B5-49CA-8383-6D9FAA52E71A}">
      <text>
        <r>
          <rPr>
            <b/>
            <sz val="9"/>
            <color indexed="81"/>
            <rFont val="MS P ゴシック"/>
            <family val="3"/>
            <charset val="128"/>
          </rPr>
          <t>堀口洋明:</t>
        </r>
        <r>
          <rPr>
            <sz val="9"/>
            <color indexed="81"/>
            <rFont val="MS P ゴシック"/>
            <family val="3"/>
            <charset val="128"/>
          </rPr>
          <t xml:space="preserve">
客室清掃に最低稼働保証をおこなっている場合、その稼働率を設定することで、最低稼働保証に基づいた客室清掃費を下回る計算を避けることができます。</t>
        </r>
      </text>
    </comment>
    <comment ref="L88" authorId="0" shapeId="0" xr:uid="{DF2E8365-35F3-4E32-AAC7-D7154293C993}">
      <text>
        <r>
          <rPr>
            <b/>
            <sz val="9"/>
            <color indexed="81"/>
            <rFont val="MS P ゴシック"/>
            <family val="3"/>
            <charset val="128"/>
          </rPr>
          <t>堀口洋明:</t>
        </r>
        <r>
          <rPr>
            <sz val="9"/>
            <color indexed="81"/>
            <rFont val="MS P ゴシック"/>
            <family val="3"/>
            <charset val="128"/>
          </rPr>
          <t xml:space="preserve">
合計から各チャネルの分を引いた調整はここで行っている
</t>
        </r>
      </text>
    </comment>
  </commentList>
</comments>
</file>

<file path=xl/sharedStrings.xml><?xml version="1.0" encoding="utf-8"?>
<sst xmlns="http://schemas.openxmlformats.org/spreadsheetml/2006/main" count="1225" uniqueCount="266">
  <si>
    <t>&lt;&lt;</t>
    <phoneticPr fontId="3"/>
  </si>
  <si>
    <r>
      <rPr>
        <sz val="9"/>
        <color theme="1"/>
        <rFont val="ＭＳ Ｐゴシック"/>
        <family val="2"/>
        <charset val="128"/>
      </rPr>
      <t>作成者：</t>
    </r>
    <rPh sb="0" eb="3">
      <t>サクセイシャ</t>
    </rPh>
    <phoneticPr fontId="3"/>
  </si>
  <si>
    <r>
      <rPr>
        <sz val="9"/>
        <color theme="1"/>
        <rFont val="ＭＳ Ｐゴシック"/>
        <family val="2"/>
        <charset val="128"/>
      </rPr>
      <t>亜欧堂</t>
    </r>
    <r>
      <rPr>
        <sz val="9"/>
        <color theme="1"/>
        <rFont val="Arial"/>
        <family val="2"/>
      </rPr>
      <t xml:space="preserve"> </t>
    </r>
    <r>
      <rPr>
        <sz val="9"/>
        <color theme="1"/>
        <rFont val="ＭＳ Ｐゴシック"/>
        <family val="2"/>
        <charset val="128"/>
      </rPr>
      <t>堀口洋明</t>
    </r>
    <rPh sb="0" eb="3">
      <t>アオウドウ</t>
    </rPh>
    <rPh sb="4" eb="6">
      <t>ホリグチ</t>
    </rPh>
    <rPh sb="6" eb="8">
      <t>ヒロアキ</t>
    </rPh>
    <phoneticPr fontId="3"/>
  </si>
  <si>
    <t>一般的にビジネスでは、赤字を出さない最低限度の売上高を確認しておくことが、経営リスクの大きさを図る上で有効です。</t>
    <rPh sb="0" eb="3">
      <t>イッパンテキ</t>
    </rPh>
    <rPh sb="11" eb="13">
      <t>アカジ</t>
    </rPh>
    <rPh sb="14" eb="15">
      <t>ダ</t>
    </rPh>
    <rPh sb="18" eb="20">
      <t>サイテイ</t>
    </rPh>
    <rPh sb="20" eb="22">
      <t>ゲンド</t>
    </rPh>
    <rPh sb="23" eb="25">
      <t>ウリアゲ</t>
    </rPh>
    <rPh sb="25" eb="26">
      <t>ダカ</t>
    </rPh>
    <rPh sb="27" eb="29">
      <t>カクニン</t>
    </rPh>
    <rPh sb="37" eb="39">
      <t>ケイエイ</t>
    </rPh>
    <rPh sb="43" eb="44">
      <t>オオ</t>
    </rPh>
    <rPh sb="47" eb="48">
      <t>ハカ</t>
    </rPh>
    <rPh sb="49" eb="50">
      <t>ウエ</t>
    </rPh>
    <rPh sb="51" eb="53">
      <t>ユウコウ</t>
    </rPh>
    <phoneticPr fontId="3"/>
  </si>
  <si>
    <t>損益分岐点売上高を下回る売上が継続する場合は、そのビジネスからの撤退が検討されます。</t>
    <rPh sb="0" eb="2">
      <t>ソンエキ</t>
    </rPh>
    <rPh sb="2" eb="5">
      <t>ブンキテン</t>
    </rPh>
    <rPh sb="5" eb="7">
      <t>ウリアゲ</t>
    </rPh>
    <rPh sb="7" eb="8">
      <t>ダカ</t>
    </rPh>
    <rPh sb="9" eb="11">
      <t>シタマワ</t>
    </rPh>
    <rPh sb="12" eb="13">
      <t>ウ</t>
    </rPh>
    <rPh sb="13" eb="14">
      <t>ア</t>
    </rPh>
    <rPh sb="15" eb="17">
      <t>ケイゾク</t>
    </rPh>
    <rPh sb="19" eb="21">
      <t>バアイ</t>
    </rPh>
    <rPh sb="32" eb="34">
      <t>テッタイ</t>
    </rPh>
    <rPh sb="35" eb="37">
      <t>ケントウ</t>
    </rPh>
    <phoneticPr fontId="3"/>
  </si>
  <si>
    <t>その場合の損益分岐点売上高の計算方法としてよく使用されているのが下記の計算式です。</t>
    <rPh sb="2" eb="4">
      <t>バアイ</t>
    </rPh>
    <rPh sb="5" eb="7">
      <t>ソンエキ</t>
    </rPh>
    <rPh sb="7" eb="10">
      <t>ブンキテン</t>
    </rPh>
    <rPh sb="10" eb="12">
      <t>ウリアゲ</t>
    </rPh>
    <rPh sb="12" eb="13">
      <t>ダカ</t>
    </rPh>
    <rPh sb="14" eb="16">
      <t>ケイサン</t>
    </rPh>
    <rPh sb="16" eb="18">
      <t>ホウホウ</t>
    </rPh>
    <rPh sb="23" eb="25">
      <t>シヨウ</t>
    </rPh>
    <rPh sb="32" eb="34">
      <t>カキ</t>
    </rPh>
    <rPh sb="35" eb="38">
      <t>ケイサンシキ</t>
    </rPh>
    <phoneticPr fontId="3"/>
  </si>
  <si>
    <t>固定費</t>
    <rPh sb="0" eb="3">
      <t>コテイヒ</t>
    </rPh>
    <phoneticPr fontId="3"/>
  </si>
  <si>
    <t>費用のうち繁忙にかかわらず一定の金額となるもの</t>
    <rPh sb="0" eb="2">
      <t>ヒヨウ</t>
    </rPh>
    <rPh sb="5" eb="7">
      <t>ハンボウ</t>
    </rPh>
    <rPh sb="13" eb="15">
      <t>イッテイ</t>
    </rPh>
    <rPh sb="16" eb="18">
      <t>キンガク</t>
    </rPh>
    <phoneticPr fontId="3"/>
  </si>
  <si>
    <t>例：　家賃</t>
    <rPh sb="0" eb="1">
      <t>レイ</t>
    </rPh>
    <rPh sb="3" eb="5">
      <t>ヤチン</t>
    </rPh>
    <phoneticPr fontId="3"/>
  </si>
  <si>
    <t>変動費</t>
    <rPh sb="0" eb="2">
      <t>ヘンドウ</t>
    </rPh>
    <rPh sb="2" eb="3">
      <t>ヒ</t>
    </rPh>
    <phoneticPr fontId="3"/>
  </si>
  <si>
    <t>費用のうち繁忙に合わせて増減するもの</t>
    <rPh sb="0" eb="2">
      <t>ヒヨウ</t>
    </rPh>
    <rPh sb="5" eb="7">
      <t>ハンボウ</t>
    </rPh>
    <rPh sb="8" eb="9">
      <t>ア</t>
    </rPh>
    <rPh sb="12" eb="14">
      <t>ゾウゲン</t>
    </rPh>
    <phoneticPr fontId="3"/>
  </si>
  <si>
    <t>例：　リネン費　客室清掃費　アメニティ費</t>
    <rPh sb="0" eb="1">
      <t>レイ</t>
    </rPh>
    <rPh sb="6" eb="7">
      <t>ヒ</t>
    </rPh>
    <rPh sb="8" eb="10">
      <t>キャクシツ</t>
    </rPh>
    <rPh sb="10" eb="12">
      <t>セイソウ</t>
    </rPh>
    <rPh sb="12" eb="13">
      <t>ヒ</t>
    </rPh>
    <rPh sb="19" eb="20">
      <t>ヒ</t>
    </rPh>
    <phoneticPr fontId="3"/>
  </si>
  <si>
    <t>家賃</t>
    <rPh sb="0" eb="2">
      <t>ヤチン</t>
    </rPh>
    <phoneticPr fontId="3"/>
  </si>
  <si>
    <t>人件費</t>
    <rPh sb="0" eb="3">
      <t>ジンケンヒ</t>
    </rPh>
    <phoneticPr fontId="3"/>
  </si>
  <si>
    <t>／月</t>
    <rPh sb="1" eb="2">
      <t>ツキ</t>
    </rPh>
    <phoneticPr fontId="3"/>
  </si>
  <si>
    <t>売上高</t>
    <rPh sb="0" eb="2">
      <t>ウリアゲ</t>
    </rPh>
    <rPh sb="2" eb="3">
      <t>ダカ</t>
    </rPh>
    <phoneticPr fontId="3"/>
  </si>
  <si>
    <t>例えば下記の場合の損益分岐点売上高を計算してみましょう。</t>
    <rPh sb="0" eb="1">
      <t>タト</t>
    </rPh>
    <rPh sb="3" eb="5">
      <t>カキ</t>
    </rPh>
    <rPh sb="6" eb="8">
      <t>バアイ</t>
    </rPh>
    <rPh sb="9" eb="11">
      <t>ソンエキ</t>
    </rPh>
    <rPh sb="11" eb="14">
      <t>ブンキテン</t>
    </rPh>
    <rPh sb="14" eb="16">
      <t>ウリアゲ</t>
    </rPh>
    <rPh sb="16" eb="17">
      <t>ダカ</t>
    </rPh>
    <rPh sb="18" eb="20">
      <t>ケイサン</t>
    </rPh>
    <phoneticPr fontId="3"/>
  </si>
  <si>
    <t>損益分岐点売上高　＝</t>
    <rPh sb="0" eb="2">
      <t>ソンエキ</t>
    </rPh>
    <rPh sb="2" eb="5">
      <t>ブンキテン</t>
    </rPh>
    <rPh sb="5" eb="7">
      <t>ウリアゲ</t>
    </rPh>
    <rPh sb="7" eb="8">
      <t>ダカ</t>
    </rPh>
    <phoneticPr fontId="3"/>
  </si>
  <si>
    <t>÷　（１－　（変動費</t>
    <rPh sb="7" eb="9">
      <t>ヘンドウ</t>
    </rPh>
    <rPh sb="9" eb="10">
      <t>ヒ</t>
    </rPh>
    <phoneticPr fontId="3"/>
  </si>
  <si>
    <t>÷　売上高</t>
    <rPh sb="2" eb="4">
      <t>ウリアゲ</t>
    </rPh>
    <rPh sb="4" eb="5">
      <t>ダカ</t>
    </rPh>
    <phoneticPr fontId="3"/>
  </si>
  <si>
    <t>損益分岐点売上高 ＝ 固定費 　÷　｛1－（変動費　÷　売上高）｝</t>
    <phoneticPr fontId="3"/>
  </si>
  <si>
    <t>））</t>
    <phoneticPr fontId="3"/>
  </si>
  <si>
    <t>＝</t>
    <phoneticPr fontId="3"/>
  </si>
  <si>
    <t>料理材料費</t>
    <rPh sb="0" eb="2">
      <t>リョウリ</t>
    </rPh>
    <rPh sb="2" eb="4">
      <t>ザイリョウ</t>
    </rPh>
    <rPh sb="4" eb="5">
      <t>ヒ</t>
    </rPh>
    <phoneticPr fontId="3"/>
  </si>
  <si>
    <t>上記はとても簡単なサンプルですが、とにかく家賃と材料費だけ払えればいいと考える個人の飲食店では</t>
    <rPh sb="0" eb="2">
      <t>ジョウキ</t>
    </rPh>
    <rPh sb="6" eb="8">
      <t>カンタン</t>
    </rPh>
    <rPh sb="21" eb="23">
      <t>ヤチン</t>
    </rPh>
    <rPh sb="24" eb="26">
      <t>ザイリョウ</t>
    </rPh>
    <rPh sb="26" eb="27">
      <t>ヒ</t>
    </rPh>
    <rPh sb="29" eb="30">
      <t>ハラ</t>
    </rPh>
    <rPh sb="36" eb="37">
      <t>カンガ</t>
    </rPh>
    <rPh sb="39" eb="41">
      <t>コジン</t>
    </rPh>
    <rPh sb="42" eb="44">
      <t>インショク</t>
    </rPh>
    <rPh sb="44" eb="45">
      <t>テン</t>
    </rPh>
    <phoneticPr fontId="3"/>
  </si>
  <si>
    <t>が損益分岐点売上高となります。</t>
    <rPh sb="1" eb="3">
      <t>ソンエキ</t>
    </rPh>
    <rPh sb="3" eb="6">
      <t>ブンキテン</t>
    </rPh>
    <rPh sb="6" eb="8">
      <t>ウリアゲ</t>
    </rPh>
    <rPh sb="8" eb="9">
      <t>ダカ</t>
    </rPh>
    <phoneticPr fontId="3"/>
  </si>
  <si>
    <t>ところが、残念ながら</t>
    <rPh sb="5" eb="7">
      <t>ザンネン</t>
    </rPh>
    <phoneticPr fontId="3"/>
  </si>
  <si>
    <t>宿泊部門ではこの損益分岐点売上高の計算式は機能しません。</t>
    <rPh sb="0" eb="2">
      <t>シュクハク</t>
    </rPh>
    <rPh sb="2" eb="4">
      <t>ブモン</t>
    </rPh>
    <rPh sb="8" eb="10">
      <t>ソンエキ</t>
    </rPh>
    <rPh sb="10" eb="13">
      <t>ブンキテン</t>
    </rPh>
    <rPh sb="13" eb="15">
      <t>ウリアゲ</t>
    </rPh>
    <rPh sb="15" eb="16">
      <t>ダカ</t>
    </rPh>
    <rPh sb="17" eb="20">
      <t>ケイサンシキ</t>
    </rPh>
    <rPh sb="21" eb="23">
      <t>キノウ</t>
    </rPh>
    <phoneticPr fontId="3"/>
  </si>
  <si>
    <t>上記の計算式は「変動費は売上高に応じて変化する」ことが前提となっています。</t>
    <rPh sb="0" eb="2">
      <t>ジョウキ</t>
    </rPh>
    <rPh sb="3" eb="6">
      <t>ケイサンシキ</t>
    </rPh>
    <rPh sb="8" eb="10">
      <t>ヘンドウ</t>
    </rPh>
    <rPh sb="10" eb="11">
      <t>ヒ</t>
    </rPh>
    <rPh sb="12" eb="14">
      <t>ウリアゲ</t>
    </rPh>
    <rPh sb="14" eb="15">
      <t>ダカ</t>
    </rPh>
    <rPh sb="16" eb="17">
      <t>オウ</t>
    </rPh>
    <rPh sb="19" eb="21">
      <t>ヘンカ</t>
    </rPh>
    <rPh sb="27" eb="29">
      <t>ゼンテイ</t>
    </rPh>
    <phoneticPr fontId="3"/>
  </si>
  <si>
    <t>しかし客室清掃費やリネン費など宿泊部門の主要な費用のほとんどが</t>
    <rPh sb="3" eb="5">
      <t>キャクシツ</t>
    </rPh>
    <rPh sb="5" eb="7">
      <t>セイソウ</t>
    </rPh>
    <rPh sb="7" eb="8">
      <t>ヒ</t>
    </rPh>
    <rPh sb="12" eb="13">
      <t>ヒ</t>
    </rPh>
    <rPh sb="15" eb="17">
      <t>シュクハク</t>
    </rPh>
    <rPh sb="17" eb="19">
      <t>ブモン</t>
    </rPh>
    <rPh sb="20" eb="22">
      <t>シュヨウ</t>
    </rPh>
    <rPh sb="23" eb="25">
      <t>ヒヨウ</t>
    </rPh>
    <phoneticPr fontId="3"/>
  </si>
  <si>
    <t>「客室数に応じて増減する費用」</t>
    <rPh sb="1" eb="4">
      <t>キャクシツスウ</t>
    </rPh>
    <rPh sb="5" eb="6">
      <t>オウ</t>
    </rPh>
    <rPh sb="8" eb="10">
      <t>ゾウゲン</t>
    </rPh>
    <rPh sb="12" eb="14">
      <t>ヒヨウ</t>
    </rPh>
    <phoneticPr fontId="3"/>
  </si>
  <si>
    <t>です。</t>
    <phoneticPr fontId="3"/>
  </si>
  <si>
    <t>このため、このツールでは損益計算書をもとに損益分岐点売上高をエクセルの機能を使って逆算できるように作成してあります。</t>
    <rPh sb="12" eb="14">
      <t>ソンエキ</t>
    </rPh>
    <rPh sb="14" eb="17">
      <t>ケイサンショ</t>
    </rPh>
    <rPh sb="21" eb="23">
      <t>ソンエキ</t>
    </rPh>
    <rPh sb="23" eb="29">
      <t>ブンキテンウリアゲダカ</t>
    </rPh>
    <rPh sb="35" eb="37">
      <t>キノウ</t>
    </rPh>
    <rPh sb="38" eb="39">
      <t>ツカ</t>
    </rPh>
    <rPh sb="41" eb="43">
      <t>ギャクサン</t>
    </rPh>
    <rPh sb="49" eb="51">
      <t>サクセイ</t>
    </rPh>
    <phoneticPr fontId="3"/>
  </si>
  <si>
    <t>数値の入力費が必要な個所は</t>
    <rPh sb="0" eb="2">
      <t>スウチ</t>
    </rPh>
    <rPh sb="3" eb="5">
      <t>ニュウリョク</t>
    </rPh>
    <rPh sb="5" eb="6">
      <t>ヒ</t>
    </rPh>
    <rPh sb="7" eb="9">
      <t>ヒツヨウ</t>
    </rPh>
    <rPh sb="10" eb="12">
      <t>カショ</t>
    </rPh>
    <phoneticPr fontId="3"/>
  </si>
  <si>
    <t>でハイライトされています。</t>
    <phoneticPr fontId="3"/>
  </si>
  <si>
    <t>シートの保護はかけていませんが、保護をかけることで入力箇所以外の計算式の改変を防ぐことができます。</t>
    <rPh sb="4" eb="6">
      <t>ホゴ</t>
    </rPh>
    <rPh sb="16" eb="18">
      <t>ホゴ</t>
    </rPh>
    <rPh sb="25" eb="27">
      <t>ニュウリョク</t>
    </rPh>
    <rPh sb="27" eb="29">
      <t>カショ</t>
    </rPh>
    <rPh sb="29" eb="31">
      <t>イガイ</t>
    </rPh>
    <rPh sb="32" eb="35">
      <t>ケイサンシキ</t>
    </rPh>
    <rPh sb="36" eb="38">
      <t>カイヘン</t>
    </rPh>
    <rPh sb="39" eb="40">
      <t>フセ</t>
    </rPh>
    <phoneticPr fontId="3"/>
  </si>
  <si>
    <t>グループホテルなどで複数の事業所に配布する場合は保護をかけることをおすすめします。</t>
    <rPh sb="10" eb="12">
      <t>フクスウ</t>
    </rPh>
    <rPh sb="13" eb="16">
      <t>ジギョウショ</t>
    </rPh>
    <rPh sb="17" eb="19">
      <t>ハイフ</t>
    </rPh>
    <rPh sb="21" eb="23">
      <t>バアイ</t>
    </rPh>
    <rPh sb="24" eb="26">
      <t>ホゴ</t>
    </rPh>
    <phoneticPr fontId="3"/>
  </si>
  <si>
    <t>Hotel PL Simulator / Limited Service or Rooms Division Only Version / Last Year Actual</t>
    <phoneticPr fontId="3"/>
  </si>
  <si>
    <t>ADR</t>
    <phoneticPr fontId="3"/>
  </si>
  <si>
    <t>損益計算書の科目や計算はユニフォーム会計システムを前提としています。</t>
    <rPh sb="0" eb="2">
      <t>ソンエキ</t>
    </rPh>
    <rPh sb="2" eb="5">
      <t>ケイサンショ</t>
    </rPh>
    <rPh sb="6" eb="8">
      <t>カモク</t>
    </rPh>
    <rPh sb="9" eb="11">
      <t>ケイサン</t>
    </rPh>
    <rPh sb="18" eb="20">
      <t>カイケイ</t>
    </rPh>
    <rPh sb="25" eb="27">
      <t>ゼンテイ</t>
    </rPh>
    <phoneticPr fontId="3"/>
  </si>
  <si>
    <t>合計</t>
    <rPh sb="0" eb="2">
      <t>ゴウケイ</t>
    </rPh>
    <phoneticPr fontId="3"/>
  </si>
  <si>
    <r>
      <t>FTE</t>
    </r>
    <r>
      <rPr>
        <sz val="9"/>
        <color theme="1"/>
        <rFont val="ＭＳ Ｐゴシック"/>
        <family val="2"/>
        <charset val="128"/>
      </rPr>
      <t>とは社員（正確にはフルタイム勤務者）換算の労働者数です。</t>
    </r>
    <rPh sb="5" eb="7">
      <t>シャイン</t>
    </rPh>
    <rPh sb="8" eb="10">
      <t>セイカク</t>
    </rPh>
    <rPh sb="17" eb="19">
      <t>キンム</t>
    </rPh>
    <rPh sb="19" eb="20">
      <t>シャ</t>
    </rPh>
    <rPh sb="21" eb="23">
      <t>カンサン</t>
    </rPh>
    <rPh sb="24" eb="27">
      <t>ロウドウシャ</t>
    </rPh>
    <rPh sb="27" eb="28">
      <t>スウ</t>
    </rPh>
    <phoneticPr fontId="3"/>
  </si>
  <si>
    <r>
      <rPr>
        <sz val="9"/>
        <color theme="1"/>
        <rFont val="ＭＳ Ｐゴシック"/>
        <family val="2"/>
        <charset val="128"/>
      </rPr>
      <t>以下の数値は昨年度</t>
    </r>
    <r>
      <rPr>
        <sz val="9"/>
        <color theme="1"/>
        <rFont val="Arial"/>
        <family val="2"/>
      </rPr>
      <t>1</t>
    </r>
    <r>
      <rPr>
        <sz val="9"/>
        <color theme="1"/>
        <rFont val="ＭＳ Ｐゴシック"/>
        <family val="2"/>
        <charset val="128"/>
      </rPr>
      <t>年間の実績値を入力してください。</t>
    </r>
    <rPh sb="0" eb="2">
      <t>イカ</t>
    </rPh>
    <rPh sb="3" eb="5">
      <t>スウチ</t>
    </rPh>
    <rPh sb="6" eb="9">
      <t>サクネンド</t>
    </rPh>
    <rPh sb="10" eb="12">
      <t>ネンカン</t>
    </rPh>
    <rPh sb="13" eb="16">
      <t>ジッセキチ</t>
    </rPh>
    <rPh sb="17" eb="19">
      <t>ニュウリョク</t>
    </rPh>
    <phoneticPr fontId="3"/>
  </si>
  <si>
    <r>
      <rPr>
        <sz val="9"/>
        <color theme="1"/>
        <rFont val="ＭＳ Ｐゴシック"/>
        <family val="2"/>
        <charset val="128"/>
      </rPr>
      <t>配布時点では一般的と思われるサンプル数値が入力されています。</t>
    </r>
    <rPh sb="0" eb="2">
      <t>ハイフ</t>
    </rPh>
    <rPh sb="2" eb="4">
      <t>ジテン</t>
    </rPh>
    <rPh sb="6" eb="9">
      <t>イッパンテキ</t>
    </rPh>
    <rPh sb="10" eb="11">
      <t>オモ</t>
    </rPh>
    <rPh sb="18" eb="20">
      <t>スウチ</t>
    </rPh>
    <rPh sb="21" eb="23">
      <t>ニュウリョク</t>
    </rPh>
    <phoneticPr fontId="3"/>
  </si>
  <si>
    <r>
      <rPr>
        <sz val="9"/>
        <color theme="1"/>
        <rFont val="ＭＳ Ｐゴシック"/>
        <family val="2"/>
        <charset val="128"/>
      </rPr>
      <t>客室総数</t>
    </r>
    <rPh sb="0" eb="2">
      <t>キャクシツ</t>
    </rPh>
    <rPh sb="2" eb="4">
      <t>ソウスウ</t>
    </rPh>
    <phoneticPr fontId="3"/>
  </si>
  <si>
    <r>
      <rPr>
        <sz val="9"/>
        <color theme="1"/>
        <rFont val="ＭＳ Ｐゴシック"/>
        <family val="2"/>
        <charset val="128"/>
      </rPr>
      <t>室</t>
    </r>
    <rPh sb="0" eb="1">
      <t>シツ</t>
    </rPh>
    <phoneticPr fontId="3"/>
  </si>
  <si>
    <r>
      <rPr>
        <sz val="9"/>
        <color theme="1"/>
        <rFont val="ＭＳ Ｐゴシック"/>
        <family val="2"/>
        <charset val="128"/>
      </rPr>
      <t>営業日数</t>
    </r>
    <rPh sb="0" eb="2">
      <t>エイギョウ</t>
    </rPh>
    <rPh sb="2" eb="4">
      <t>ニッスウ</t>
    </rPh>
    <phoneticPr fontId="3"/>
  </si>
  <si>
    <r>
      <rPr>
        <sz val="9"/>
        <color theme="1"/>
        <rFont val="ＭＳ Ｐゴシック"/>
        <family val="2"/>
        <charset val="128"/>
      </rPr>
      <t>年間販売室数</t>
    </r>
    <rPh sb="0" eb="2">
      <t>ネンカン</t>
    </rPh>
    <rPh sb="2" eb="4">
      <t>ハンバイ</t>
    </rPh>
    <rPh sb="4" eb="5">
      <t>シツ</t>
    </rPh>
    <rPh sb="5" eb="6">
      <t>スウ</t>
    </rPh>
    <phoneticPr fontId="3"/>
  </si>
  <si>
    <r>
      <rPr>
        <sz val="8"/>
        <color theme="1"/>
        <rFont val="ＭＳ Ｐゴシック"/>
        <family val="2"/>
        <charset val="128"/>
      </rPr>
      <t>→　修正する場合</t>
    </r>
    <rPh sb="2" eb="4">
      <t>シュウセイ</t>
    </rPh>
    <rPh sb="6" eb="8">
      <t>バアイ</t>
    </rPh>
    <phoneticPr fontId="3"/>
  </si>
  <si>
    <r>
      <rPr>
        <sz val="8"/>
        <color theme="1"/>
        <rFont val="ＭＳ Ｐゴシック"/>
        <family val="2"/>
        <charset val="128"/>
      </rPr>
      <t>（修正値を</t>
    </r>
    <r>
      <rPr>
        <sz val="8"/>
        <color theme="1"/>
        <rFont val="Arial"/>
        <family val="2"/>
      </rPr>
      <t>L7</t>
    </r>
    <r>
      <rPr>
        <sz val="8"/>
        <color theme="1"/>
        <rFont val="ＭＳ Ｐゴシック"/>
        <family val="2"/>
        <charset val="128"/>
      </rPr>
      <t>セルに入力すると年間販売室数が上書きされます）</t>
    </r>
    <rPh sb="1" eb="3">
      <t>シュウセイ</t>
    </rPh>
    <rPh sb="3" eb="4">
      <t>チ</t>
    </rPh>
    <rPh sb="10" eb="12">
      <t>ニュウリョク</t>
    </rPh>
    <rPh sb="15" eb="17">
      <t>ネンカン</t>
    </rPh>
    <rPh sb="17" eb="19">
      <t>ハンバイ</t>
    </rPh>
    <rPh sb="19" eb="20">
      <t>シツ</t>
    </rPh>
    <rPh sb="20" eb="21">
      <t>スウ</t>
    </rPh>
    <rPh sb="22" eb="24">
      <t>ウワガ</t>
    </rPh>
    <phoneticPr fontId="3"/>
  </si>
  <si>
    <r>
      <rPr>
        <sz val="9"/>
        <color theme="1"/>
        <rFont val="ＭＳ Ｐゴシック"/>
        <family val="2"/>
        <charset val="128"/>
      </rPr>
      <t>※　サービス料込・税別で設定してください</t>
    </r>
    <rPh sb="6" eb="7">
      <t>リョウ</t>
    </rPh>
    <rPh sb="7" eb="8">
      <t>コミ</t>
    </rPh>
    <rPh sb="9" eb="11">
      <t>ゼイベツ</t>
    </rPh>
    <rPh sb="12" eb="14">
      <t>セッテイ</t>
    </rPh>
    <phoneticPr fontId="3"/>
  </si>
  <si>
    <r>
      <rPr>
        <sz val="9"/>
        <color theme="1"/>
        <rFont val="ＭＳ Ｐゴシック"/>
        <family val="2"/>
        <charset val="128"/>
      </rPr>
      <t>客室売上</t>
    </r>
    <rPh sb="0" eb="2">
      <t>キャクシツ</t>
    </rPh>
    <rPh sb="2" eb="4">
      <t>ウリアゲ</t>
    </rPh>
    <phoneticPr fontId="3"/>
  </si>
  <si>
    <r>
      <rPr>
        <sz val="9"/>
        <color theme="1"/>
        <rFont val="ＭＳ Ｐゴシック"/>
        <family val="2"/>
        <charset val="128"/>
      </rPr>
      <t>その他売上</t>
    </r>
    <rPh sb="2" eb="3">
      <t>ホカ</t>
    </rPh>
    <rPh sb="3" eb="5">
      <t>ウリアゲ</t>
    </rPh>
    <phoneticPr fontId="3"/>
  </si>
  <si>
    <r>
      <rPr>
        <sz val="9"/>
        <color theme="1"/>
        <rFont val="ＭＳ Ｐゴシック"/>
        <family val="2"/>
        <charset val="128"/>
      </rPr>
      <t>実際の金額や固定的な金額を設定する</t>
    </r>
    <rPh sb="0" eb="2">
      <t>ジッサイ</t>
    </rPh>
    <rPh sb="3" eb="5">
      <t>キンガク</t>
    </rPh>
    <rPh sb="6" eb="9">
      <t>コテイテキ</t>
    </rPh>
    <rPh sb="10" eb="12">
      <t>キンガク</t>
    </rPh>
    <rPh sb="13" eb="15">
      <t>セッテイ</t>
    </rPh>
    <phoneticPr fontId="3"/>
  </si>
  <si>
    <r>
      <rPr>
        <sz val="9"/>
        <color theme="1"/>
        <rFont val="ＭＳ Ｐゴシック"/>
        <family val="2"/>
        <charset val="128"/>
      </rPr>
      <t>人件費率から概算を計算する</t>
    </r>
    <rPh sb="0" eb="3">
      <t>ジンケンヒ</t>
    </rPh>
    <rPh sb="3" eb="4">
      <t>リツ</t>
    </rPh>
    <rPh sb="6" eb="8">
      <t>ガイサン</t>
    </rPh>
    <rPh sb="9" eb="11">
      <t>ケイサン</t>
    </rPh>
    <phoneticPr fontId="3"/>
  </si>
  <si>
    <r>
      <rPr>
        <sz val="9"/>
        <color theme="1"/>
        <rFont val="ＭＳ Ｐゴシック"/>
        <family val="2"/>
        <charset val="128"/>
      </rPr>
      <t>役職別設定単価と人数から試算する</t>
    </r>
    <rPh sb="0" eb="2">
      <t>ヤクショク</t>
    </rPh>
    <rPh sb="2" eb="3">
      <t>ベツ</t>
    </rPh>
    <rPh sb="3" eb="5">
      <t>セッテイ</t>
    </rPh>
    <rPh sb="5" eb="7">
      <t>タンカ</t>
    </rPh>
    <rPh sb="8" eb="10">
      <t>ニンズウ</t>
    </rPh>
    <rPh sb="12" eb="14">
      <t>シサン</t>
    </rPh>
    <phoneticPr fontId="3"/>
  </si>
  <si>
    <r>
      <rPr>
        <sz val="9"/>
        <color theme="1"/>
        <rFont val="ＭＳ Ｐゴシック"/>
        <family val="2"/>
        <charset val="128"/>
      </rPr>
      <t>以下は</t>
    </r>
    <r>
      <rPr>
        <sz val="9"/>
        <color theme="1"/>
        <rFont val="Arial"/>
        <family val="2"/>
      </rPr>
      <t>FTE</t>
    </r>
    <r>
      <rPr>
        <sz val="9"/>
        <color theme="1"/>
        <rFont val="ＭＳ Ｐゴシック"/>
        <family val="2"/>
        <charset val="128"/>
      </rPr>
      <t>（</t>
    </r>
    <r>
      <rPr>
        <sz val="9"/>
        <color theme="1"/>
        <rFont val="Arial"/>
        <family val="2"/>
      </rPr>
      <t>Full Time Equivalent</t>
    </r>
    <r>
      <rPr>
        <sz val="9"/>
        <color theme="1"/>
        <rFont val="ＭＳ Ｐゴシック"/>
        <family val="2"/>
        <charset val="128"/>
      </rPr>
      <t>）を計算する場合に設定してください。</t>
    </r>
    <rPh sb="0" eb="2">
      <t>イカ</t>
    </rPh>
    <rPh sb="29" eb="31">
      <t>ケイサン</t>
    </rPh>
    <rPh sb="33" eb="35">
      <t>バアイ</t>
    </rPh>
    <rPh sb="36" eb="38">
      <t>セッテイ</t>
    </rPh>
    <phoneticPr fontId="3"/>
  </si>
  <si>
    <r>
      <rPr>
        <sz val="9"/>
        <color theme="1"/>
        <rFont val="ＭＳ Ｐゴシック"/>
        <family val="2"/>
        <charset val="128"/>
      </rPr>
      <t>管理職</t>
    </r>
    <r>
      <rPr>
        <sz val="9"/>
        <color theme="1"/>
        <rFont val="Arial"/>
        <family val="2"/>
      </rPr>
      <t>1</t>
    </r>
    <rPh sb="0" eb="2">
      <t>カンリ</t>
    </rPh>
    <rPh sb="2" eb="3">
      <t>ショク</t>
    </rPh>
    <phoneticPr fontId="3"/>
  </si>
  <si>
    <r>
      <rPr>
        <sz val="9"/>
        <color theme="1"/>
        <rFont val="ＭＳ Ｐゴシック"/>
        <family val="2"/>
        <charset val="128"/>
      </rPr>
      <t>年間給与想定額</t>
    </r>
    <rPh sb="0" eb="2">
      <t>ネンカン</t>
    </rPh>
    <rPh sb="2" eb="4">
      <t>キュウヨ</t>
    </rPh>
    <rPh sb="4" eb="6">
      <t>ソウテイ</t>
    </rPh>
    <rPh sb="6" eb="7">
      <t>ガク</t>
    </rPh>
    <phoneticPr fontId="3"/>
  </si>
  <si>
    <r>
      <rPr>
        <sz val="9"/>
        <color theme="1"/>
        <rFont val="ＭＳ Ｐゴシック"/>
        <family val="2"/>
        <charset val="128"/>
      </rPr>
      <t>雇用人数</t>
    </r>
    <rPh sb="0" eb="2">
      <t>コヨウ</t>
    </rPh>
    <rPh sb="2" eb="4">
      <t>ニンズウ</t>
    </rPh>
    <phoneticPr fontId="3"/>
  </si>
  <si>
    <r>
      <rPr>
        <sz val="9"/>
        <color theme="1"/>
        <rFont val="ＭＳ Ｐゴシック"/>
        <family val="2"/>
        <charset val="128"/>
      </rPr>
      <t>管理職</t>
    </r>
    <r>
      <rPr>
        <sz val="9"/>
        <color theme="1"/>
        <rFont val="Arial"/>
        <family val="2"/>
      </rPr>
      <t>2</t>
    </r>
    <rPh sb="0" eb="2">
      <t>カンリ</t>
    </rPh>
    <rPh sb="2" eb="3">
      <t>ショク</t>
    </rPh>
    <phoneticPr fontId="3"/>
  </si>
  <si>
    <r>
      <rPr>
        <sz val="9"/>
        <color theme="1"/>
        <rFont val="ＭＳ Ｐゴシック"/>
        <family val="2"/>
        <charset val="128"/>
      </rPr>
      <t>パートタイマー（一般に言うパート・アルバイト）のように、</t>
    </r>
    <rPh sb="8" eb="10">
      <t>イッパン</t>
    </rPh>
    <rPh sb="11" eb="12">
      <t>イ</t>
    </rPh>
    <phoneticPr fontId="3"/>
  </si>
  <si>
    <r>
      <rPr>
        <sz val="9"/>
        <color theme="1"/>
        <rFont val="ＭＳ Ｐゴシック"/>
        <family val="2"/>
        <charset val="128"/>
      </rPr>
      <t>管理職</t>
    </r>
    <r>
      <rPr>
        <sz val="9"/>
        <color theme="1"/>
        <rFont val="Arial"/>
        <family val="2"/>
      </rPr>
      <t>3</t>
    </r>
    <rPh sb="0" eb="2">
      <t>カンリ</t>
    </rPh>
    <rPh sb="2" eb="3">
      <t>ショク</t>
    </rPh>
    <phoneticPr fontId="3"/>
  </si>
  <si>
    <r>
      <rPr>
        <sz val="9"/>
        <color theme="1"/>
        <rFont val="ＭＳ Ｐゴシック"/>
        <family val="2"/>
        <charset val="128"/>
      </rPr>
      <t>一般職</t>
    </r>
    <rPh sb="0" eb="2">
      <t>イッパン</t>
    </rPh>
    <rPh sb="2" eb="3">
      <t>ショク</t>
    </rPh>
    <phoneticPr fontId="3"/>
  </si>
  <si>
    <r>
      <rPr>
        <sz val="9"/>
        <color theme="1"/>
        <rFont val="ＭＳ Ｐゴシック"/>
        <family val="2"/>
        <charset val="128"/>
      </rPr>
      <t>小計</t>
    </r>
    <rPh sb="0" eb="2">
      <t>ショウケイ</t>
    </rPh>
    <phoneticPr fontId="3"/>
  </si>
  <si>
    <r>
      <rPr>
        <sz val="9"/>
        <color theme="1"/>
        <rFont val="ＭＳ Ｐゴシック"/>
        <family val="3"/>
        <charset val="128"/>
      </rPr>
      <t>パート</t>
    </r>
    <r>
      <rPr>
        <sz val="9"/>
        <color theme="1"/>
        <rFont val="Arial"/>
        <family val="2"/>
      </rPr>
      <t>1</t>
    </r>
    <phoneticPr fontId="3"/>
  </si>
  <si>
    <r>
      <rPr>
        <sz val="9"/>
        <color theme="1"/>
        <rFont val="ＭＳ Ｐゴシック"/>
        <family val="2"/>
        <charset val="128"/>
      </rPr>
      <t>時給</t>
    </r>
    <rPh sb="0" eb="2">
      <t>ジキュウ</t>
    </rPh>
    <phoneticPr fontId="3"/>
  </si>
  <si>
    <r>
      <rPr>
        <sz val="9"/>
        <color theme="1"/>
        <rFont val="ＭＳ Ｐゴシック"/>
        <family val="2"/>
        <charset val="128"/>
      </rPr>
      <t>労働時間合計</t>
    </r>
    <rPh sb="0" eb="2">
      <t>ロウドウ</t>
    </rPh>
    <rPh sb="2" eb="4">
      <t>ジカン</t>
    </rPh>
    <rPh sb="4" eb="6">
      <t>ゴウケイ</t>
    </rPh>
    <phoneticPr fontId="3"/>
  </si>
  <si>
    <r>
      <rPr>
        <sz val="9"/>
        <color theme="1"/>
        <rFont val="ＭＳ Ｐゴシック"/>
        <family val="3"/>
        <charset val="128"/>
      </rPr>
      <t>パート</t>
    </r>
    <r>
      <rPr>
        <sz val="9"/>
        <color theme="1"/>
        <rFont val="Arial"/>
        <family val="2"/>
      </rPr>
      <t>2</t>
    </r>
    <r>
      <rPr>
        <sz val="11"/>
        <color theme="1"/>
        <rFont val="メイリオ"/>
        <family val="2"/>
        <charset val="128"/>
        <scheme val="minor"/>
      </rPr>
      <t/>
    </r>
  </si>
  <si>
    <r>
      <t>1</t>
    </r>
    <r>
      <rPr>
        <sz val="9"/>
        <color theme="1"/>
        <rFont val="ＭＳ Ｐゴシック"/>
        <family val="2"/>
        <charset val="128"/>
      </rPr>
      <t>日の労働時間</t>
    </r>
    <rPh sb="1" eb="2">
      <t>ニチ</t>
    </rPh>
    <rPh sb="3" eb="5">
      <t>ロウドウ</t>
    </rPh>
    <rPh sb="5" eb="7">
      <t>ジカン</t>
    </rPh>
    <phoneticPr fontId="3"/>
  </si>
  <si>
    <r>
      <rPr>
        <sz val="9"/>
        <color theme="1"/>
        <rFont val="ＭＳ Ｐゴシック"/>
        <family val="2"/>
        <charset val="128"/>
      </rPr>
      <t>年間公休数</t>
    </r>
    <rPh sb="0" eb="2">
      <t>ネンカン</t>
    </rPh>
    <rPh sb="2" eb="4">
      <t>コウキュウ</t>
    </rPh>
    <rPh sb="4" eb="5">
      <t>スウ</t>
    </rPh>
    <phoneticPr fontId="3"/>
  </si>
  <si>
    <r>
      <rPr>
        <sz val="9"/>
        <color theme="1"/>
        <rFont val="ＭＳ Ｐゴシック"/>
        <family val="2"/>
        <charset val="128"/>
      </rPr>
      <t>年間有給取得数</t>
    </r>
    <rPh sb="0" eb="2">
      <t>ネンカン</t>
    </rPh>
    <rPh sb="2" eb="4">
      <t>ユウキュウ</t>
    </rPh>
    <rPh sb="4" eb="6">
      <t>シュトク</t>
    </rPh>
    <rPh sb="6" eb="7">
      <t>スウ</t>
    </rPh>
    <phoneticPr fontId="3"/>
  </si>
  <si>
    <r>
      <rPr>
        <sz val="9"/>
        <color theme="1"/>
        <rFont val="ＭＳ Ｐゴシック"/>
        <family val="2"/>
        <charset val="128"/>
      </rPr>
      <t>アルバイト</t>
    </r>
    <r>
      <rPr>
        <sz val="9"/>
        <color theme="1"/>
        <rFont val="Arial"/>
        <family val="2"/>
      </rPr>
      <t>1</t>
    </r>
    <phoneticPr fontId="3"/>
  </si>
  <si>
    <r>
      <rPr>
        <sz val="9"/>
        <color theme="1"/>
        <rFont val="ＭＳ Ｐゴシック"/>
        <family val="2"/>
        <charset val="128"/>
      </rPr>
      <t>アルバイト</t>
    </r>
    <r>
      <rPr>
        <sz val="9"/>
        <color theme="1"/>
        <rFont val="Arial"/>
        <family val="2"/>
      </rPr>
      <t>2</t>
    </r>
  </si>
  <si>
    <t>雇用人数そのものを比較することは生産性の議論には適していません。</t>
    <rPh sb="0" eb="2">
      <t>コヨウ</t>
    </rPh>
    <rPh sb="2" eb="3">
      <t>ニン</t>
    </rPh>
    <rPh sb="3" eb="4">
      <t>スウ</t>
    </rPh>
    <rPh sb="9" eb="11">
      <t>ヒカク</t>
    </rPh>
    <rPh sb="16" eb="19">
      <t>セイサンセイ</t>
    </rPh>
    <rPh sb="20" eb="22">
      <t>ギロン</t>
    </rPh>
    <rPh sb="24" eb="25">
      <t>テキ</t>
    </rPh>
    <phoneticPr fontId="3"/>
  </si>
  <si>
    <t>１日当たりの労働時間や年間労働日数が少ないスタッフがいる場合、</t>
    <rPh sb="1" eb="2">
      <t>ニチ</t>
    </rPh>
    <rPh sb="2" eb="3">
      <t>ア</t>
    </rPh>
    <rPh sb="6" eb="8">
      <t>ロウドウ</t>
    </rPh>
    <rPh sb="8" eb="10">
      <t>ジカン</t>
    </rPh>
    <rPh sb="11" eb="13">
      <t>ネンカン</t>
    </rPh>
    <rPh sb="13" eb="15">
      <t>ロウドウ</t>
    </rPh>
    <rPh sb="15" eb="17">
      <t>ニッスウ</t>
    </rPh>
    <rPh sb="18" eb="19">
      <t>スク</t>
    </rPh>
    <rPh sb="28" eb="30">
      <t>バアイ</t>
    </rPh>
    <phoneticPr fontId="3"/>
  </si>
  <si>
    <t>人</t>
    <rPh sb="0" eb="1">
      <t>ニン</t>
    </rPh>
    <phoneticPr fontId="3"/>
  </si>
  <si>
    <t>時間</t>
    <rPh sb="0" eb="2">
      <t>ジカン</t>
    </rPh>
    <phoneticPr fontId="3"/>
  </si>
  <si>
    <t>人件費　（基本分）</t>
    <rPh sb="0" eb="3">
      <t>ジンケンヒ</t>
    </rPh>
    <rPh sb="5" eb="7">
      <t>キホン</t>
    </rPh>
    <rPh sb="7" eb="8">
      <t>ブン</t>
    </rPh>
    <phoneticPr fontId="3"/>
  </si>
  <si>
    <t>人件費　（時間外分）</t>
    <rPh sb="0" eb="3">
      <t>ジンケンヒ</t>
    </rPh>
    <rPh sb="5" eb="8">
      <t>ジカンガイ</t>
    </rPh>
    <rPh sb="8" eb="9">
      <t>ブン</t>
    </rPh>
    <phoneticPr fontId="3"/>
  </si>
  <si>
    <t>以下の３つの計算式のうち妥当なものを選択してください。</t>
    <rPh sb="0" eb="2">
      <t>イカ</t>
    </rPh>
    <rPh sb="6" eb="9">
      <t>ケイサンシキ</t>
    </rPh>
    <rPh sb="12" eb="14">
      <t>ダトウ</t>
    </rPh>
    <rPh sb="18" eb="20">
      <t>センタク</t>
    </rPh>
    <phoneticPr fontId="3"/>
  </si>
  <si>
    <t>※　人件費（基本分）に時間外手当を含む場合は入力不要</t>
    <rPh sb="2" eb="5">
      <t>ジンケンヒ</t>
    </rPh>
    <rPh sb="6" eb="8">
      <t>キホン</t>
    </rPh>
    <rPh sb="8" eb="9">
      <t>ブン</t>
    </rPh>
    <rPh sb="11" eb="14">
      <t>ジカンガイ</t>
    </rPh>
    <rPh sb="14" eb="16">
      <t>テアテ</t>
    </rPh>
    <rPh sb="17" eb="18">
      <t>フク</t>
    </rPh>
    <rPh sb="19" eb="21">
      <t>バアイ</t>
    </rPh>
    <rPh sb="22" eb="24">
      <t>ニュウリョク</t>
    </rPh>
    <rPh sb="24" eb="26">
      <t>フヨウ</t>
    </rPh>
    <phoneticPr fontId="3"/>
  </si>
  <si>
    <t>単価と人数から試算する</t>
    <rPh sb="0" eb="2">
      <t>タンカ</t>
    </rPh>
    <rPh sb="3" eb="5">
      <t>ニンズウ</t>
    </rPh>
    <rPh sb="7" eb="9">
      <t>シサン</t>
    </rPh>
    <phoneticPr fontId="3"/>
  </si>
  <si>
    <t>想定時給</t>
    <rPh sb="0" eb="2">
      <t>ソウテイ</t>
    </rPh>
    <rPh sb="2" eb="4">
      <t>ジキュウ</t>
    </rPh>
    <phoneticPr fontId="3"/>
  </si>
  <si>
    <t>想定時間／日</t>
    <rPh sb="0" eb="2">
      <t>ソウテイ</t>
    </rPh>
    <rPh sb="2" eb="4">
      <t>ジカン</t>
    </rPh>
    <rPh sb="5" eb="6">
      <t>ヒ</t>
    </rPh>
    <phoneticPr fontId="3"/>
  </si>
  <si>
    <t>想定日数</t>
    <rPh sb="0" eb="2">
      <t>ソウテイ</t>
    </rPh>
    <rPh sb="2" eb="4">
      <t>ニッスウ</t>
    </rPh>
    <phoneticPr fontId="3"/>
  </si>
  <si>
    <t>想定人数</t>
    <rPh sb="0" eb="2">
      <t>ソウテイ</t>
    </rPh>
    <rPh sb="2" eb="4">
      <t>ニンズウ</t>
    </rPh>
    <phoneticPr fontId="3"/>
  </si>
  <si>
    <t>人件費　（深夜分）</t>
    <rPh sb="0" eb="3">
      <t>ジンケンヒ</t>
    </rPh>
    <rPh sb="5" eb="7">
      <t>シンヤ</t>
    </rPh>
    <rPh sb="7" eb="8">
      <t>ブン</t>
    </rPh>
    <rPh sb="8" eb="9">
      <t>ジブン</t>
    </rPh>
    <phoneticPr fontId="3"/>
  </si>
  <si>
    <t>基本分</t>
    <rPh sb="0" eb="2">
      <t>キホン</t>
    </rPh>
    <rPh sb="2" eb="3">
      <t>ブン</t>
    </rPh>
    <phoneticPr fontId="3"/>
  </si>
  <si>
    <t>時間外手当</t>
    <rPh sb="0" eb="3">
      <t>ジカンガイ</t>
    </rPh>
    <rPh sb="3" eb="5">
      <t>テアテ</t>
    </rPh>
    <phoneticPr fontId="3"/>
  </si>
  <si>
    <t>深夜手当</t>
    <rPh sb="0" eb="2">
      <t>シンヤ</t>
    </rPh>
    <rPh sb="2" eb="4">
      <t>テアテ</t>
    </rPh>
    <phoneticPr fontId="3"/>
  </si>
  <si>
    <t>金額</t>
    <rPh sb="0" eb="2">
      <t>キンガク</t>
    </rPh>
    <phoneticPr fontId="3"/>
  </si>
  <si>
    <t>売上対比</t>
    <rPh sb="0" eb="2">
      <t>ウリアゲ</t>
    </rPh>
    <rPh sb="2" eb="4">
      <t>タイヒ</t>
    </rPh>
    <phoneticPr fontId="3"/>
  </si>
  <si>
    <t>販売管理費</t>
    <rPh sb="0" eb="2">
      <t>ハンバイ</t>
    </rPh>
    <rPh sb="2" eb="5">
      <t>カンリヒ</t>
    </rPh>
    <phoneticPr fontId="3"/>
  </si>
  <si>
    <t>※　人件費は「客室数（厳密には年間販売室数）に比例した費用」と考えますので、単体ホテルにおいては客室数の変動はほぼないため固定費として扱います。</t>
    <rPh sb="2" eb="5">
      <t>ジンケンヒ</t>
    </rPh>
    <rPh sb="7" eb="10">
      <t>キャクシツスウ</t>
    </rPh>
    <rPh sb="11" eb="13">
      <t>ゲンミツ</t>
    </rPh>
    <rPh sb="15" eb="17">
      <t>ネンカン</t>
    </rPh>
    <rPh sb="17" eb="19">
      <t>ハンバイ</t>
    </rPh>
    <rPh sb="19" eb="20">
      <t>シツ</t>
    </rPh>
    <rPh sb="20" eb="21">
      <t>スウ</t>
    </rPh>
    <rPh sb="23" eb="25">
      <t>ヒレイ</t>
    </rPh>
    <rPh sb="27" eb="29">
      <t>ヒヨウ</t>
    </rPh>
    <rPh sb="31" eb="32">
      <t>カンガ</t>
    </rPh>
    <rPh sb="38" eb="40">
      <t>タンタイ</t>
    </rPh>
    <rPh sb="48" eb="51">
      <t>キャクシツスウ</t>
    </rPh>
    <rPh sb="52" eb="54">
      <t>ヘンドウ</t>
    </rPh>
    <rPh sb="61" eb="64">
      <t>コテイヒ</t>
    </rPh>
    <rPh sb="67" eb="68">
      <t>アツカ</t>
    </rPh>
    <phoneticPr fontId="3"/>
  </si>
  <si>
    <t>人件費は計算にいくつかの方法を用意していますので、ページ下部を参照してください。</t>
    <rPh sb="0" eb="3">
      <t>ジンケンヒ</t>
    </rPh>
    <rPh sb="4" eb="6">
      <t>ケイサン</t>
    </rPh>
    <rPh sb="12" eb="14">
      <t>ホウホウ</t>
    </rPh>
    <rPh sb="15" eb="17">
      <t>ヨウイ</t>
    </rPh>
    <rPh sb="28" eb="30">
      <t>カブ</t>
    </rPh>
    <rPh sb="31" eb="33">
      <t>サンショウ</t>
    </rPh>
    <phoneticPr fontId="3"/>
  </si>
  <si>
    <t>法定福利費</t>
    <rPh sb="0" eb="2">
      <t>ホウテイ</t>
    </rPh>
    <rPh sb="2" eb="4">
      <t>フクリ</t>
    </rPh>
    <rPh sb="4" eb="5">
      <t>ヒ</t>
    </rPh>
    <phoneticPr fontId="3"/>
  </si>
  <si>
    <t>または　金額指定</t>
    <rPh sb="4" eb="6">
      <t>キンガク</t>
    </rPh>
    <rPh sb="6" eb="8">
      <t>シテイ</t>
    </rPh>
    <phoneticPr fontId="3"/>
  </si>
  <si>
    <t>※　人件費には通勤手当を含み法定福利費を含まないものとする</t>
    <rPh sb="2" eb="5">
      <t>ジンケンヒ</t>
    </rPh>
    <rPh sb="7" eb="9">
      <t>ツウキン</t>
    </rPh>
    <rPh sb="9" eb="11">
      <t>テアテ</t>
    </rPh>
    <rPh sb="12" eb="13">
      <t>フク</t>
    </rPh>
    <rPh sb="14" eb="16">
      <t>ホウテイ</t>
    </rPh>
    <rPh sb="16" eb="18">
      <t>フクリ</t>
    </rPh>
    <rPh sb="18" eb="19">
      <t>ヒ</t>
    </rPh>
    <rPh sb="20" eb="21">
      <t>フク</t>
    </rPh>
    <phoneticPr fontId="3"/>
  </si>
  <si>
    <t>リネン費</t>
    <rPh sb="3" eb="4">
      <t>ヒ</t>
    </rPh>
    <phoneticPr fontId="3"/>
  </si>
  <si>
    <t>アメニティ費</t>
    <rPh sb="5" eb="6">
      <t>ヒ</t>
    </rPh>
    <phoneticPr fontId="3"/>
  </si>
  <si>
    <t>客室清掃費</t>
    <rPh sb="0" eb="2">
      <t>キャクシツ</t>
    </rPh>
    <rPh sb="2" eb="4">
      <t>セイソウ</t>
    </rPh>
    <rPh sb="4" eb="5">
      <t>ヒ</t>
    </rPh>
    <phoneticPr fontId="3"/>
  </si>
  <si>
    <t>販売手数料</t>
    <rPh sb="0" eb="2">
      <t>ハンバイ</t>
    </rPh>
    <rPh sb="2" eb="5">
      <t>テスウリョウ</t>
    </rPh>
    <phoneticPr fontId="3"/>
  </si>
  <si>
    <t>水道光熱費</t>
    <rPh sb="0" eb="2">
      <t>スイドウ</t>
    </rPh>
    <rPh sb="2" eb="5">
      <t>コウネツヒ</t>
    </rPh>
    <phoneticPr fontId="3"/>
  </si>
  <si>
    <t>広告宣伝費</t>
    <rPh sb="0" eb="2">
      <t>コウコク</t>
    </rPh>
    <rPh sb="2" eb="5">
      <t>センデンヒ</t>
    </rPh>
    <phoneticPr fontId="3"/>
  </si>
  <si>
    <t>その他の費用</t>
    <rPh sb="2" eb="3">
      <t>ホカ</t>
    </rPh>
    <rPh sb="4" eb="6">
      <t>ヒヨウ</t>
    </rPh>
    <phoneticPr fontId="3"/>
  </si>
  <si>
    <t>人件費（基本分）の　％指定</t>
    <rPh sb="0" eb="3">
      <t>ジンケンヒ</t>
    </rPh>
    <rPh sb="4" eb="6">
      <t>キホン</t>
    </rPh>
    <rPh sb="6" eb="7">
      <t>ブン</t>
    </rPh>
    <rPh sb="11" eb="13">
      <t>シテイ</t>
    </rPh>
    <phoneticPr fontId="3"/>
  </si>
  <si>
    <t>売上の　％指定</t>
    <rPh sb="0" eb="2">
      <t>ウリアゲ</t>
    </rPh>
    <rPh sb="5" eb="7">
      <t>シテイ</t>
    </rPh>
    <phoneticPr fontId="3"/>
  </si>
  <si>
    <r>
      <rPr>
        <sz val="9"/>
        <color theme="0" tint="-0.499984740745262"/>
        <rFont val="ＭＳ Ｐゴシック"/>
        <family val="2"/>
        <charset val="128"/>
      </rPr>
      <t>雇用人数</t>
    </r>
    <rPh sb="0" eb="2">
      <t>コヨウ</t>
    </rPh>
    <rPh sb="2" eb="4">
      <t>ニンズウ</t>
    </rPh>
    <phoneticPr fontId="3"/>
  </si>
  <si>
    <r>
      <rPr>
        <sz val="9"/>
        <color theme="0" tint="-0.499984740745262"/>
        <rFont val="ＭＳ Ｐゴシック"/>
        <family val="2"/>
        <charset val="128"/>
      </rPr>
      <t>年間給与想定額</t>
    </r>
    <rPh sb="0" eb="2">
      <t>ネンカン</t>
    </rPh>
    <rPh sb="2" eb="4">
      <t>キュウヨ</t>
    </rPh>
    <rPh sb="4" eb="6">
      <t>ソウテイ</t>
    </rPh>
    <rPh sb="6" eb="7">
      <t>ガク</t>
    </rPh>
    <phoneticPr fontId="3"/>
  </si>
  <si>
    <r>
      <rPr>
        <sz val="9"/>
        <color theme="0" tint="-0.499984740745262"/>
        <rFont val="ＭＳ Ｐゴシック"/>
        <family val="2"/>
        <charset val="128"/>
      </rPr>
      <t>時給</t>
    </r>
    <rPh sb="0" eb="2">
      <t>ジキュウ</t>
    </rPh>
    <phoneticPr fontId="3"/>
  </si>
  <si>
    <r>
      <rPr>
        <sz val="9"/>
        <color theme="0" tint="-0.499984740745262"/>
        <rFont val="ＭＳ Ｐゴシック"/>
        <family val="2"/>
        <charset val="128"/>
      </rPr>
      <t>労働時間合計</t>
    </r>
    <rPh sb="0" eb="2">
      <t>ロウドウ</t>
    </rPh>
    <rPh sb="2" eb="4">
      <t>ジカン</t>
    </rPh>
    <rPh sb="4" eb="6">
      <t>ゴウケイ</t>
    </rPh>
    <phoneticPr fontId="3"/>
  </si>
  <si>
    <t>GOP</t>
    <phoneticPr fontId="3"/>
  </si>
  <si>
    <t>その他費用1（変動）</t>
    <rPh sb="2" eb="3">
      <t>ホカ</t>
    </rPh>
    <rPh sb="3" eb="5">
      <t>ヒヨウ</t>
    </rPh>
    <rPh sb="7" eb="9">
      <t>ヘンドウ</t>
    </rPh>
    <phoneticPr fontId="3"/>
  </si>
  <si>
    <t>その他費用2（変動）</t>
    <rPh sb="2" eb="3">
      <t>ホカ</t>
    </rPh>
    <rPh sb="3" eb="5">
      <t>ヒヨウ</t>
    </rPh>
    <rPh sb="7" eb="9">
      <t>ヘンドウ</t>
    </rPh>
    <phoneticPr fontId="3"/>
  </si>
  <si>
    <t>その他費用3（変動）</t>
    <rPh sb="2" eb="3">
      <t>ホカ</t>
    </rPh>
    <rPh sb="3" eb="5">
      <t>ヒヨウ</t>
    </rPh>
    <rPh sb="7" eb="9">
      <t>ヘンドウ</t>
    </rPh>
    <phoneticPr fontId="3"/>
  </si>
  <si>
    <t>その他費用1（固定）</t>
    <rPh sb="2" eb="3">
      <t>ホカ</t>
    </rPh>
    <rPh sb="3" eb="5">
      <t>ヒヨウ</t>
    </rPh>
    <phoneticPr fontId="3"/>
  </si>
  <si>
    <t>その他費用2（固定）</t>
    <rPh sb="2" eb="3">
      <t>ホカ</t>
    </rPh>
    <rPh sb="3" eb="5">
      <t>ヒヨウ</t>
    </rPh>
    <phoneticPr fontId="3"/>
  </si>
  <si>
    <t>その他費用3（固定）</t>
    <rPh sb="2" eb="3">
      <t>ホカ</t>
    </rPh>
    <rPh sb="3" eb="5">
      <t>ヒヨウ</t>
    </rPh>
    <phoneticPr fontId="3"/>
  </si>
  <si>
    <t>金額指定</t>
    <rPh sb="0" eb="2">
      <t>キンガク</t>
    </rPh>
    <rPh sb="2" eb="4">
      <t>シテイ</t>
    </rPh>
    <phoneticPr fontId="3"/>
  </si>
  <si>
    <t>営業利益</t>
    <rPh sb="0" eb="2">
      <t>エイギョウ</t>
    </rPh>
    <rPh sb="2" eb="4">
      <t>リエキ</t>
    </rPh>
    <phoneticPr fontId="3"/>
  </si>
  <si>
    <r>
      <rPr>
        <b/>
        <sz val="9"/>
        <color theme="0"/>
        <rFont val="ＭＳ Ｐゴシック"/>
        <family val="2"/>
        <charset val="128"/>
      </rPr>
      <t>宿泊部門売上合計</t>
    </r>
    <rPh sb="0" eb="2">
      <t>シュクハク</t>
    </rPh>
    <rPh sb="2" eb="4">
      <t>ブモン</t>
    </rPh>
    <rPh sb="4" eb="6">
      <t>ウリアゲ</t>
    </rPh>
    <rPh sb="6" eb="8">
      <t>ゴウケイ</t>
    </rPh>
    <phoneticPr fontId="3"/>
  </si>
  <si>
    <r>
      <rPr>
        <b/>
        <sz val="9"/>
        <color theme="1"/>
        <rFont val="ＭＳ Ｐゴシック"/>
        <family val="2"/>
        <charset val="128"/>
      </rPr>
      <t>年間稼働率</t>
    </r>
    <rPh sb="0" eb="2">
      <t>ネンカン</t>
    </rPh>
    <rPh sb="2" eb="4">
      <t>カドウ</t>
    </rPh>
    <rPh sb="4" eb="5">
      <t>リツ</t>
    </rPh>
    <phoneticPr fontId="3"/>
  </si>
  <si>
    <r>
      <rPr>
        <sz val="9"/>
        <color theme="1"/>
        <rFont val="ＭＳ Ｐゴシック"/>
        <family val="2"/>
        <charset val="128"/>
      </rPr>
      <t>社員</t>
    </r>
    <r>
      <rPr>
        <sz val="9"/>
        <color theme="1"/>
        <rFont val="Arial"/>
        <family val="2"/>
      </rPr>
      <t>1</t>
    </r>
    <r>
      <rPr>
        <sz val="9"/>
        <color theme="1"/>
        <rFont val="ＭＳ Ｐゴシック"/>
        <family val="2"/>
        <charset val="128"/>
      </rPr>
      <t>名あたり年間労働時間</t>
    </r>
    <rPh sb="0" eb="2">
      <t>シャイン</t>
    </rPh>
    <rPh sb="3" eb="4">
      <t>メイ</t>
    </rPh>
    <rPh sb="7" eb="9">
      <t>ネンカン</t>
    </rPh>
    <rPh sb="9" eb="11">
      <t>ロウドウ</t>
    </rPh>
    <rPh sb="11" eb="13">
      <t>ジカン</t>
    </rPh>
    <phoneticPr fontId="3"/>
  </si>
  <si>
    <t>※　主要コスト</t>
    <rPh sb="2" eb="4">
      <t>シュヨウ</t>
    </rPh>
    <phoneticPr fontId="3"/>
  </si>
  <si>
    <t>Hotel PL Simulator / Limited Service or Rooms Division Only Version / Case1</t>
    <phoneticPr fontId="3"/>
  </si>
  <si>
    <t>固定費</t>
    <rPh sb="0" eb="3">
      <t>コテイヒ</t>
    </rPh>
    <phoneticPr fontId="3"/>
  </si>
  <si>
    <t>削減検討対象</t>
    <rPh sb="0" eb="2">
      <t>サクゲン</t>
    </rPh>
    <rPh sb="2" eb="4">
      <t>ケントウ</t>
    </rPh>
    <rPh sb="4" eb="6">
      <t>タイショウ</t>
    </rPh>
    <phoneticPr fontId="3"/>
  </si>
  <si>
    <t>室数に応じた変動費</t>
    <rPh sb="0" eb="1">
      <t>シツ</t>
    </rPh>
    <rPh sb="1" eb="2">
      <t>スウ</t>
    </rPh>
    <rPh sb="3" eb="4">
      <t>オウ</t>
    </rPh>
    <rPh sb="6" eb="8">
      <t>ヘンドウ</t>
    </rPh>
    <rPh sb="8" eb="9">
      <t>ヒ</t>
    </rPh>
    <phoneticPr fontId="3"/>
  </si>
  <si>
    <t>売上に応じた変動費</t>
    <rPh sb="0" eb="2">
      <t>ウリアゲ</t>
    </rPh>
    <rPh sb="3" eb="4">
      <t>オウ</t>
    </rPh>
    <rPh sb="6" eb="8">
      <t>ヘンドウ</t>
    </rPh>
    <rPh sb="8" eb="9">
      <t>ヒ</t>
    </rPh>
    <phoneticPr fontId="3"/>
  </si>
  <si>
    <t>備考</t>
    <rPh sb="0" eb="2">
      <t>ビコウ</t>
    </rPh>
    <phoneticPr fontId="3"/>
  </si>
  <si>
    <t>備考</t>
    <rPh sb="0" eb="2">
      <t>ビコウ</t>
    </rPh>
    <phoneticPr fontId="3"/>
  </si>
  <si>
    <t>／室</t>
    <rPh sb="1" eb="2">
      <t>シツ</t>
    </rPh>
    <phoneticPr fontId="3"/>
  </si>
  <si>
    <t>ケース名</t>
    <rPh sb="3" eb="4">
      <t>メイ</t>
    </rPh>
    <phoneticPr fontId="3"/>
  </si>
  <si>
    <t>／室 （前年）</t>
    <rPh sb="1" eb="2">
      <t>シツ</t>
    </rPh>
    <rPh sb="4" eb="6">
      <t>ゼンネン</t>
    </rPh>
    <phoneticPr fontId="3"/>
  </si>
  <si>
    <t>単価を変更する場合</t>
    <rPh sb="0" eb="2">
      <t>タンカ</t>
    </rPh>
    <rPh sb="3" eb="5">
      <t>ヘンコウ</t>
    </rPh>
    <rPh sb="7" eb="9">
      <t>バアイ</t>
    </rPh>
    <phoneticPr fontId="3"/>
  </si>
  <si>
    <t>※　手数料率を見直す場合はページ下部を確認してください。</t>
    <rPh sb="2" eb="5">
      <t>テスウリョウ</t>
    </rPh>
    <rPh sb="5" eb="6">
      <t>リツ</t>
    </rPh>
    <rPh sb="7" eb="9">
      <t>ミナオ</t>
    </rPh>
    <rPh sb="10" eb="12">
      <t>バアイ</t>
    </rPh>
    <rPh sb="16" eb="18">
      <t>カブ</t>
    </rPh>
    <rPh sb="19" eb="21">
      <t>カクニン</t>
    </rPh>
    <phoneticPr fontId="3"/>
  </si>
  <si>
    <t>送客手数料</t>
    <rPh sb="0" eb="1">
      <t>ソウ</t>
    </rPh>
    <rPh sb="1" eb="2">
      <t>キャク</t>
    </rPh>
    <rPh sb="2" eb="5">
      <t>テスウリョウ</t>
    </rPh>
    <phoneticPr fontId="3"/>
  </si>
  <si>
    <t>前年の手数料率を使用する</t>
    <rPh sb="0" eb="2">
      <t>ゼンネン</t>
    </rPh>
    <rPh sb="3" eb="6">
      <t>テスウリョウ</t>
    </rPh>
    <rPh sb="6" eb="7">
      <t>リツ</t>
    </rPh>
    <rPh sb="8" eb="10">
      <t>シヨウ</t>
    </rPh>
    <phoneticPr fontId="3"/>
  </si>
  <si>
    <t>以下の数値は試算用に、前年実績から変更したい個所を入力してください。現状のADRやOCCのみの変更もできますし、費用を修正してみて厳密な比較も可能です。</t>
    <rPh sb="0" eb="2">
      <t>イカ</t>
    </rPh>
    <rPh sb="3" eb="5">
      <t>スウチ</t>
    </rPh>
    <rPh sb="6" eb="8">
      <t>シサン</t>
    </rPh>
    <rPh sb="8" eb="9">
      <t>ヨウ</t>
    </rPh>
    <rPh sb="11" eb="13">
      <t>ゼンネン</t>
    </rPh>
    <rPh sb="13" eb="15">
      <t>ジッセキ</t>
    </rPh>
    <rPh sb="17" eb="19">
      <t>ヘンコウ</t>
    </rPh>
    <rPh sb="22" eb="24">
      <t>カショ</t>
    </rPh>
    <rPh sb="25" eb="27">
      <t>ニュウリョク</t>
    </rPh>
    <rPh sb="34" eb="36">
      <t>ゲンジョウ</t>
    </rPh>
    <rPh sb="47" eb="49">
      <t>ヘンコウ</t>
    </rPh>
    <rPh sb="56" eb="58">
      <t>ヒヨウ</t>
    </rPh>
    <rPh sb="59" eb="61">
      <t>シュウセイ</t>
    </rPh>
    <rPh sb="65" eb="67">
      <t>ゲンミツ</t>
    </rPh>
    <rPh sb="68" eb="70">
      <t>ヒカク</t>
    </rPh>
    <rPh sb="71" eb="73">
      <t>カノウ</t>
    </rPh>
    <phoneticPr fontId="3"/>
  </si>
  <si>
    <t>以下の２つの計算式のうち妥当なものを選択してください。</t>
    <rPh sb="0" eb="2">
      <t>イカ</t>
    </rPh>
    <rPh sb="6" eb="9">
      <t>ケイサンシキ</t>
    </rPh>
    <rPh sb="12" eb="14">
      <t>ダトウ</t>
    </rPh>
    <rPh sb="18" eb="20">
      <t>センタク</t>
    </rPh>
    <phoneticPr fontId="3"/>
  </si>
  <si>
    <t>手数料を試算する</t>
    <rPh sb="0" eb="3">
      <t>テスウリョウ</t>
    </rPh>
    <rPh sb="4" eb="6">
      <t>シサン</t>
    </rPh>
    <phoneticPr fontId="3"/>
  </si>
  <si>
    <t>自社サイト</t>
    <rPh sb="0" eb="2">
      <t>ジシャ</t>
    </rPh>
    <phoneticPr fontId="3"/>
  </si>
  <si>
    <t>最低稼働保証</t>
    <rPh sb="0" eb="2">
      <t>サイテイ</t>
    </rPh>
    <rPh sb="2" eb="4">
      <t>カドウ</t>
    </rPh>
    <rPh sb="4" eb="6">
      <t>ホショウ</t>
    </rPh>
    <phoneticPr fontId="3"/>
  </si>
  <si>
    <t>室数比率</t>
    <rPh sb="0" eb="1">
      <t>シツ</t>
    </rPh>
    <rPh sb="1" eb="2">
      <t>スウ</t>
    </rPh>
    <rPh sb="2" eb="4">
      <t>ヒリツ</t>
    </rPh>
    <phoneticPr fontId="3"/>
  </si>
  <si>
    <t>手数料率</t>
    <rPh sb="0" eb="3">
      <t>テスウリョウ</t>
    </rPh>
    <rPh sb="3" eb="4">
      <t>リツ</t>
    </rPh>
    <phoneticPr fontId="3"/>
  </si>
  <si>
    <t>※　室数比率は全体に占める室数の割合を記入</t>
    <rPh sb="2" eb="3">
      <t>シツ</t>
    </rPh>
    <rPh sb="3" eb="4">
      <t>スウ</t>
    </rPh>
    <rPh sb="4" eb="6">
      <t>ヒリツ</t>
    </rPh>
    <rPh sb="7" eb="9">
      <t>ゼンタイ</t>
    </rPh>
    <rPh sb="10" eb="11">
      <t>シ</t>
    </rPh>
    <rPh sb="13" eb="14">
      <t>シツ</t>
    </rPh>
    <rPh sb="14" eb="15">
      <t>スウ</t>
    </rPh>
    <rPh sb="16" eb="18">
      <t>ワリアイ</t>
    </rPh>
    <rPh sb="19" eb="21">
      <t>キニュウ</t>
    </rPh>
    <phoneticPr fontId="3"/>
  </si>
  <si>
    <t>※　手数料率にはクレジットカード手数料も含めること（現金支払いは考慮しないで全てをカード払いとして設定することを推奨）</t>
    <rPh sb="2" eb="5">
      <t>テスウリョウ</t>
    </rPh>
    <rPh sb="5" eb="6">
      <t>リツ</t>
    </rPh>
    <rPh sb="16" eb="19">
      <t>テスウリョウ</t>
    </rPh>
    <rPh sb="20" eb="21">
      <t>フク</t>
    </rPh>
    <rPh sb="26" eb="28">
      <t>ゲンキン</t>
    </rPh>
    <rPh sb="28" eb="30">
      <t>シハラ</t>
    </rPh>
    <rPh sb="32" eb="34">
      <t>コウリョ</t>
    </rPh>
    <rPh sb="38" eb="39">
      <t>スベ</t>
    </rPh>
    <rPh sb="44" eb="45">
      <t>バラ</t>
    </rPh>
    <rPh sb="49" eb="51">
      <t>セッテイ</t>
    </rPh>
    <rPh sb="56" eb="58">
      <t>スイショウ</t>
    </rPh>
    <phoneticPr fontId="3"/>
  </si>
  <si>
    <t>国内OTA　楽天</t>
    <rPh sb="0" eb="2">
      <t>コクナイ</t>
    </rPh>
    <rPh sb="6" eb="8">
      <t>ラクテン</t>
    </rPh>
    <phoneticPr fontId="3"/>
  </si>
  <si>
    <t>国内OTA　じゃらん</t>
    <rPh sb="0" eb="2">
      <t>コクナイ</t>
    </rPh>
    <phoneticPr fontId="3"/>
  </si>
  <si>
    <t>国内OTA　一休</t>
    <rPh sb="0" eb="2">
      <t>コクナイ</t>
    </rPh>
    <rPh sb="6" eb="8">
      <t>イッキュウ</t>
    </rPh>
    <phoneticPr fontId="3"/>
  </si>
  <si>
    <t>海外OTA　Agoda</t>
    <rPh sb="0" eb="2">
      <t>カイガイ</t>
    </rPh>
    <phoneticPr fontId="3"/>
  </si>
  <si>
    <t>海外OTA　Booking</t>
    <rPh sb="0" eb="2">
      <t>カイガイ</t>
    </rPh>
    <phoneticPr fontId="3"/>
  </si>
  <si>
    <t>海外OTA　C-trip</t>
    <rPh sb="0" eb="2">
      <t>カイガイ</t>
    </rPh>
    <phoneticPr fontId="3"/>
  </si>
  <si>
    <t>海外OTA　Expedia</t>
    <rPh sb="0" eb="2">
      <t>カイガイ</t>
    </rPh>
    <phoneticPr fontId="3"/>
  </si>
  <si>
    <t>海外OTA　その他</t>
    <rPh sb="0" eb="2">
      <t>カイガイ</t>
    </rPh>
    <rPh sb="8" eb="9">
      <t>ホカ</t>
    </rPh>
    <phoneticPr fontId="3"/>
  </si>
  <si>
    <t>国内OTA　その他</t>
    <rPh sb="0" eb="2">
      <t>コクナイ</t>
    </rPh>
    <rPh sb="8" eb="9">
      <t>ホカ</t>
    </rPh>
    <phoneticPr fontId="3"/>
  </si>
  <si>
    <t>海外AGT　個人</t>
    <rPh sb="0" eb="2">
      <t>カイガイ</t>
    </rPh>
    <rPh sb="6" eb="8">
      <t>コジン</t>
    </rPh>
    <phoneticPr fontId="3"/>
  </si>
  <si>
    <t>国内AGT　個人</t>
    <rPh sb="0" eb="2">
      <t>コクナイ</t>
    </rPh>
    <rPh sb="6" eb="8">
      <t>コジン</t>
    </rPh>
    <phoneticPr fontId="3"/>
  </si>
  <si>
    <t>団体　国内募集旅行</t>
    <rPh sb="0" eb="2">
      <t>ダンタイ</t>
    </rPh>
    <rPh sb="3" eb="5">
      <t>コクナイ</t>
    </rPh>
    <rPh sb="5" eb="7">
      <t>ボシュウ</t>
    </rPh>
    <rPh sb="7" eb="9">
      <t>リョコウ</t>
    </rPh>
    <phoneticPr fontId="3"/>
  </si>
  <si>
    <t>団体　国内その他</t>
    <rPh sb="0" eb="2">
      <t>ダンタイ</t>
    </rPh>
    <rPh sb="3" eb="5">
      <t>コクナイ</t>
    </rPh>
    <rPh sb="7" eb="8">
      <t>ホカ</t>
    </rPh>
    <phoneticPr fontId="3"/>
  </si>
  <si>
    <t>団体　インバウンド　</t>
    <rPh sb="0" eb="2">
      <t>ダンタイ</t>
    </rPh>
    <phoneticPr fontId="3"/>
  </si>
  <si>
    <t>個人　その他</t>
    <rPh sb="0" eb="2">
      <t>コジン</t>
    </rPh>
    <rPh sb="5" eb="6">
      <t>ホカ</t>
    </rPh>
    <phoneticPr fontId="3"/>
  </si>
  <si>
    <t>‐</t>
    <phoneticPr fontId="3"/>
  </si>
  <si>
    <t>団体　その他</t>
    <rPh sb="0" eb="2">
      <t>ダンタイ</t>
    </rPh>
    <rPh sb="5" eb="6">
      <t>ホカ</t>
    </rPh>
    <phoneticPr fontId="3"/>
  </si>
  <si>
    <t>↓　修正する場合</t>
    <rPh sb="2" eb="4">
      <t>シュウセイ</t>
    </rPh>
    <rPh sb="6" eb="8">
      <t>バアイ</t>
    </rPh>
    <phoneticPr fontId="3"/>
  </si>
  <si>
    <t>室料売上</t>
    <rPh sb="0" eb="2">
      <t>シツリョウ</t>
    </rPh>
    <rPh sb="2" eb="4">
      <t>ウリアゲ</t>
    </rPh>
    <phoneticPr fontId="3"/>
  </si>
  <si>
    <t>室数</t>
    <rPh sb="0" eb="1">
      <t>シツ</t>
    </rPh>
    <rPh sb="1" eb="2">
      <t>スウ</t>
    </rPh>
    <phoneticPr fontId="3"/>
  </si>
  <si>
    <t>手数料</t>
    <rPh sb="0" eb="3">
      <t>テスウリョウ</t>
    </rPh>
    <phoneticPr fontId="3"/>
  </si>
  <si>
    <t>Hotel PL Simulator / Limited Service or Rooms Division Only Version / Case2</t>
    <phoneticPr fontId="3"/>
  </si>
  <si>
    <t>-</t>
    <phoneticPr fontId="3"/>
  </si>
  <si>
    <t>Hotel PL Simulator / Limited Service or Rooms Division Only Version / Case3</t>
    <phoneticPr fontId="3"/>
  </si>
  <si>
    <t>Hotel PL Simulator / Limited Service or Rooms Division Only Version / Case4</t>
    <phoneticPr fontId="3"/>
  </si>
  <si>
    <t>Hotel PL Simulator / Limited Service or Rooms Division Only Version / Case5</t>
    <phoneticPr fontId="3"/>
  </si>
  <si>
    <t>Case5</t>
    <phoneticPr fontId="3"/>
  </si>
  <si>
    <t>Hotel PL Simulator / Limited Service or Rooms Division Only Version / Summary</t>
    <phoneticPr fontId="3"/>
  </si>
  <si>
    <t>Last Year Actual</t>
  </si>
  <si>
    <t>初期設定</t>
    <rPh sb="0" eb="2">
      <t>ショキ</t>
    </rPh>
    <rPh sb="2" eb="4">
      <t>セッテイ</t>
    </rPh>
    <phoneticPr fontId="3"/>
  </si>
  <si>
    <t>ホテル名</t>
    <rPh sb="3" eb="4">
      <t>メイ</t>
    </rPh>
    <phoneticPr fontId="3"/>
  </si>
  <si>
    <t>Sample Hotel</t>
    <phoneticPr fontId="3"/>
  </si>
  <si>
    <t>売上構成比</t>
    <rPh sb="0" eb="2">
      <t>ウリアゲ</t>
    </rPh>
    <rPh sb="2" eb="5">
      <t>コウセイヒ</t>
    </rPh>
    <phoneticPr fontId="3"/>
  </si>
  <si>
    <t>ゴールシーク</t>
    <phoneticPr fontId="3"/>
  </si>
  <si>
    <t>エクセルにはゴールシークという逆算機能があります。</t>
    <rPh sb="15" eb="17">
      <t>ギャクサン</t>
    </rPh>
    <rPh sb="17" eb="19">
      <t>キノウ</t>
    </rPh>
    <phoneticPr fontId="3"/>
  </si>
  <si>
    <t>結果が出ているセル（このツールでは各シートのC38セル［営業利益額］など）を指定し、</t>
    <rPh sb="0" eb="2">
      <t>ケッカ</t>
    </rPh>
    <rPh sb="3" eb="4">
      <t>デ</t>
    </rPh>
    <rPh sb="17" eb="18">
      <t>カク</t>
    </rPh>
    <rPh sb="28" eb="30">
      <t>エイギョウ</t>
    </rPh>
    <rPh sb="30" eb="32">
      <t>リエキ</t>
    </rPh>
    <rPh sb="32" eb="33">
      <t>ガク</t>
    </rPh>
    <rPh sb="38" eb="40">
      <t>シテイ</t>
    </rPh>
    <phoneticPr fontId="3"/>
  </si>
  <si>
    <t>データメニュー　＞　What-If分析　＞　ゴールシーク　とメニューを選択し、</t>
    <rPh sb="17" eb="19">
      <t>ブンセキ</t>
    </rPh>
    <rPh sb="35" eb="37">
      <t>センタク</t>
    </rPh>
    <phoneticPr fontId="3"/>
  </si>
  <si>
    <t>目標値を　0　（損益分岐点売上高を計算する場合。GOPの目標額を維持できるOCCやADRを試算する場合はその金額でもよい）　と設定し、</t>
    <rPh sb="0" eb="3">
      <t>モクヒョウチ</t>
    </rPh>
    <rPh sb="8" eb="10">
      <t>ソンエキ</t>
    </rPh>
    <rPh sb="10" eb="13">
      <t>ブンキテン</t>
    </rPh>
    <rPh sb="13" eb="15">
      <t>ウリアゲ</t>
    </rPh>
    <rPh sb="15" eb="16">
      <t>ダカ</t>
    </rPh>
    <rPh sb="17" eb="19">
      <t>ケイサン</t>
    </rPh>
    <rPh sb="21" eb="23">
      <t>バアイ</t>
    </rPh>
    <rPh sb="28" eb="30">
      <t>モクヒョウ</t>
    </rPh>
    <rPh sb="30" eb="31">
      <t>ガク</t>
    </rPh>
    <rPh sb="32" eb="34">
      <t>イジ</t>
    </rPh>
    <rPh sb="45" eb="47">
      <t>シサン</t>
    </rPh>
    <rPh sb="49" eb="51">
      <t>バアイ</t>
    </rPh>
    <rPh sb="54" eb="56">
      <t>キンガク</t>
    </rPh>
    <rPh sb="63" eb="65">
      <t>セッテイ</t>
    </rPh>
    <phoneticPr fontId="3"/>
  </si>
  <si>
    <t>変化させるセルで各シートの　E7セル（年間稼働率）　または　E8セル（ADR)を選び　OK　ボタンを押すことで、</t>
    <rPh sb="0" eb="2">
      <t>ヘンカ</t>
    </rPh>
    <rPh sb="8" eb="9">
      <t>カク</t>
    </rPh>
    <rPh sb="19" eb="21">
      <t>ネンカン</t>
    </rPh>
    <rPh sb="21" eb="23">
      <t>カドウ</t>
    </rPh>
    <rPh sb="23" eb="24">
      <t>リツ</t>
    </rPh>
    <rPh sb="40" eb="41">
      <t>エラ</t>
    </rPh>
    <rPh sb="50" eb="51">
      <t>オ</t>
    </rPh>
    <phoneticPr fontId="3"/>
  </si>
  <si>
    <t>目標値を達成する　年間稼働率　または　ADR　を試算することができます。</t>
    <rPh sb="0" eb="3">
      <t>モクヒョウチ</t>
    </rPh>
    <rPh sb="4" eb="6">
      <t>タッセイ</t>
    </rPh>
    <rPh sb="9" eb="11">
      <t>ネンカン</t>
    </rPh>
    <rPh sb="11" eb="13">
      <t>カドウ</t>
    </rPh>
    <rPh sb="13" eb="14">
      <t>リツ</t>
    </rPh>
    <rPh sb="24" eb="26">
      <t>シサン</t>
    </rPh>
    <phoneticPr fontId="3"/>
  </si>
  <si>
    <t>複雑に計算式が絡み合っているツールですので、エクセルが答えを出せない場合があります。</t>
    <rPh sb="0" eb="2">
      <t>フクザツ</t>
    </rPh>
    <rPh sb="3" eb="6">
      <t>ケイサンシキ</t>
    </rPh>
    <rPh sb="7" eb="8">
      <t>カラ</t>
    </rPh>
    <rPh sb="9" eb="10">
      <t>ア</t>
    </rPh>
    <rPh sb="27" eb="28">
      <t>コタ</t>
    </rPh>
    <rPh sb="30" eb="31">
      <t>ダ</t>
    </rPh>
    <rPh sb="34" eb="36">
      <t>バアイ</t>
    </rPh>
    <phoneticPr fontId="3"/>
  </si>
  <si>
    <t>その場合は</t>
    <rPh sb="2" eb="4">
      <t>バアイ</t>
    </rPh>
    <phoneticPr fontId="3"/>
  </si>
  <si>
    <r>
      <t>GOP</t>
    </r>
    <r>
      <rPr>
        <sz val="9"/>
        <color theme="1"/>
        <rFont val="ＭＳ Ｐゴシック"/>
        <family val="2"/>
        <charset val="128"/>
      </rPr>
      <t>率を目標にする</t>
    </r>
    <rPh sb="3" eb="4">
      <t>リツ</t>
    </rPh>
    <rPh sb="5" eb="7">
      <t>モクヒョウ</t>
    </rPh>
    <phoneticPr fontId="3"/>
  </si>
  <si>
    <r>
      <rPr>
        <sz val="9"/>
        <color theme="1"/>
        <rFont val="ＭＳ Ｐゴシック"/>
        <family val="2"/>
        <charset val="128"/>
      </rPr>
      <t>手動で年間稼働率　または　</t>
    </r>
    <r>
      <rPr>
        <sz val="9"/>
        <color theme="1"/>
        <rFont val="Arial"/>
        <family val="2"/>
      </rPr>
      <t>ADR</t>
    </r>
    <r>
      <rPr>
        <sz val="9"/>
        <color theme="1"/>
        <rFont val="ＭＳ Ｐゴシック"/>
        <family val="2"/>
        <charset val="128"/>
      </rPr>
      <t>　を変えてみる</t>
    </r>
    <rPh sb="0" eb="2">
      <t>シュドウ</t>
    </rPh>
    <rPh sb="3" eb="5">
      <t>ネンカン</t>
    </rPh>
    <rPh sb="5" eb="7">
      <t>カドウ</t>
    </rPh>
    <rPh sb="7" eb="8">
      <t>リツ</t>
    </rPh>
    <rPh sb="18" eb="19">
      <t>カ</t>
    </rPh>
    <phoneticPr fontId="3"/>
  </si>
  <si>
    <t>ことをお試しください。</t>
    <rPh sb="4" eb="5">
      <t>タメ</t>
    </rPh>
    <phoneticPr fontId="3"/>
  </si>
  <si>
    <r>
      <t>COVID-19</t>
    </r>
    <r>
      <rPr>
        <b/>
        <sz val="15"/>
        <color theme="3"/>
        <rFont val="ＭＳ Ｐゴシック"/>
        <family val="2"/>
        <charset val="128"/>
      </rPr>
      <t>対策</t>
    </r>
    <r>
      <rPr>
        <b/>
        <sz val="15"/>
        <color theme="3"/>
        <rFont val="Arial"/>
        <family val="2"/>
      </rPr>
      <t xml:space="preserve"> </t>
    </r>
    <r>
      <rPr>
        <b/>
        <sz val="15"/>
        <color theme="3"/>
        <rFont val="ＭＳ Ｐゴシック"/>
        <family val="2"/>
        <charset val="128"/>
      </rPr>
      <t>損益計算ツール</t>
    </r>
    <rPh sb="8" eb="10">
      <t>タイサク</t>
    </rPh>
    <rPh sb="11" eb="13">
      <t>ソンエキ</t>
    </rPh>
    <rPh sb="13" eb="15">
      <t>ケイサン</t>
    </rPh>
    <phoneticPr fontId="3"/>
  </si>
  <si>
    <t>Ver</t>
    <phoneticPr fontId="3"/>
  </si>
  <si>
    <t>プロトタイプとして作成</t>
    <rPh sb="9" eb="11">
      <t>サクセイ</t>
    </rPh>
    <phoneticPr fontId="3"/>
  </si>
  <si>
    <t>表現などを修正</t>
    <rPh sb="0" eb="2">
      <t>ヒョウゲン</t>
    </rPh>
    <rPh sb="5" eb="7">
      <t>シュウセイ</t>
    </rPh>
    <phoneticPr fontId="3"/>
  </si>
  <si>
    <t>更新日：</t>
    <rPh sb="0" eb="3">
      <t>コウシンビ</t>
    </rPh>
    <phoneticPr fontId="3"/>
  </si>
  <si>
    <t>年</t>
    <rPh sb="0" eb="1">
      <t>ネン</t>
    </rPh>
    <phoneticPr fontId="3"/>
  </si>
  <si>
    <t>月</t>
    <rPh sb="0" eb="1">
      <t>ガツ</t>
    </rPh>
    <phoneticPr fontId="3"/>
  </si>
  <si>
    <t>日</t>
    <rPh sb="0" eb="1">
      <t>ニチ</t>
    </rPh>
    <phoneticPr fontId="3"/>
  </si>
  <si>
    <r>
      <t>Mail</t>
    </r>
    <r>
      <rPr>
        <sz val="9"/>
        <color theme="1"/>
        <rFont val="ＭＳ Ｐゴシック"/>
        <family val="2"/>
        <charset val="128"/>
      </rPr>
      <t>：</t>
    </r>
    <phoneticPr fontId="3"/>
  </si>
  <si>
    <t>hiroaki.horiguchi@aoudo.jp</t>
    <phoneticPr fontId="3"/>
  </si>
  <si>
    <r>
      <rPr>
        <sz val="9"/>
        <color theme="1"/>
        <rFont val="ＭＳ Ｐゴシック"/>
        <family val="2"/>
        <charset val="128"/>
      </rPr>
      <t>電話：</t>
    </r>
    <rPh sb="0" eb="2">
      <t>デンワ</t>
    </rPh>
    <phoneticPr fontId="3"/>
  </si>
  <si>
    <t>080-3367-4152</t>
    <phoneticPr fontId="3"/>
  </si>
  <si>
    <t>初めに</t>
    <rPh sb="0" eb="1">
      <t>ハジ</t>
    </rPh>
    <phoneticPr fontId="3"/>
  </si>
  <si>
    <t>2020年初頭より感染拡大が確認され、2020年3月4月と世界的に猛威を振るっている新型コロナウィルス（COVID-19）の影響により、</t>
    <rPh sb="4" eb="5">
      <t>ネン</t>
    </rPh>
    <rPh sb="5" eb="7">
      <t>ショトウ</t>
    </rPh>
    <rPh sb="9" eb="11">
      <t>カンセン</t>
    </rPh>
    <rPh sb="11" eb="13">
      <t>カクダイ</t>
    </rPh>
    <rPh sb="14" eb="16">
      <t>カクニン</t>
    </rPh>
    <rPh sb="23" eb="24">
      <t>ネン</t>
    </rPh>
    <rPh sb="25" eb="26">
      <t>ガツ</t>
    </rPh>
    <rPh sb="27" eb="28">
      <t>ガツ</t>
    </rPh>
    <rPh sb="29" eb="32">
      <t>セカイテキ</t>
    </rPh>
    <rPh sb="33" eb="35">
      <t>モウイ</t>
    </rPh>
    <rPh sb="36" eb="37">
      <t>フ</t>
    </rPh>
    <rPh sb="42" eb="44">
      <t>シンガタ</t>
    </rPh>
    <rPh sb="62" eb="64">
      <t>エイキョウ</t>
    </rPh>
    <phoneticPr fontId="3"/>
  </si>
  <si>
    <t>世界経済は大ダメージを受けており、特に観光業界はその影響を最初に受け被害も甚大な状況となっています。</t>
    <rPh sb="0" eb="2">
      <t>セカイ</t>
    </rPh>
    <rPh sb="2" eb="4">
      <t>ケイザイ</t>
    </rPh>
    <rPh sb="5" eb="6">
      <t>ダイ</t>
    </rPh>
    <rPh sb="11" eb="12">
      <t>ウ</t>
    </rPh>
    <rPh sb="17" eb="18">
      <t>トク</t>
    </rPh>
    <rPh sb="19" eb="21">
      <t>カンコウ</t>
    </rPh>
    <rPh sb="21" eb="23">
      <t>ギョウカイ</t>
    </rPh>
    <rPh sb="26" eb="28">
      <t>エイキョウ</t>
    </rPh>
    <rPh sb="29" eb="31">
      <t>サイショ</t>
    </rPh>
    <rPh sb="32" eb="33">
      <t>ウ</t>
    </rPh>
    <rPh sb="34" eb="36">
      <t>ヒガイ</t>
    </rPh>
    <rPh sb="37" eb="39">
      <t>ジンダイ</t>
    </rPh>
    <rPh sb="40" eb="42">
      <t>ジョウキョウ</t>
    </rPh>
    <phoneticPr fontId="3"/>
  </si>
  <si>
    <t>企業存続を考える上でも、また今後の販売価格の下限を検討する意味でも、損益分岐点売上高を知ることは非常に重要な意味を持ちます。</t>
    <rPh sb="0" eb="2">
      <t>キギョウ</t>
    </rPh>
    <rPh sb="2" eb="4">
      <t>ソンゾク</t>
    </rPh>
    <rPh sb="5" eb="6">
      <t>カンガ</t>
    </rPh>
    <rPh sb="8" eb="9">
      <t>ウエ</t>
    </rPh>
    <rPh sb="14" eb="16">
      <t>コンゴ</t>
    </rPh>
    <rPh sb="17" eb="19">
      <t>ハンバイ</t>
    </rPh>
    <rPh sb="19" eb="21">
      <t>カカク</t>
    </rPh>
    <rPh sb="22" eb="24">
      <t>カゲン</t>
    </rPh>
    <rPh sb="25" eb="27">
      <t>ケントウ</t>
    </rPh>
    <rPh sb="29" eb="31">
      <t>イミ</t>
    </rPh>
    <rPh sb="34" eb="36">
      <t>ソンエキ</t>
    </rPh>
    <rPh sb="36" eb="39">
      <t>ブンキテン</t>
    </rPh>
    <rPh sb="39" eb="41">
      <t>ウリアゲ</t>
    </rPh>
    <rPh sb="41" eb="42">
      <t>ダカ</t>
    </rPh>
    <rPh sb="43" eb="44">
      <t>シ</t>
    </rPh>
    <rPh sb="48" eb="50">
      <t>ヒジョウ</t>
    </rPh>
    <rPh sb="51" eb="53">
      <t>ジュウヨウ</t>
    </rPh>
    <rPh sb="54" eb="56">
      <t>イミ</t>
    </rPh>
    <rPh sb="57" eb="58">
      <t>モ</t>
    </rPh>
    <phoneticPr fontId="3"/>
  </si>
  <si>
    <t>このツールを使っていただく目的は大きく下記のとおりです。</t>
    <rPh sb="6" eb="7">
      <t>ツカ</t>
    </rPh>
    <rPh sb="13" eb="15">
      <t>モクテキ</t>
    </rPh>
    <rPh sb="16" eb="17">
      <t>オオ</t>
    </rPh>
    <rPh sb="19" eb="21">
      <t>カキ</t>
    </rPh>
    <phoneticPr fontId="3"/>
  </si>
  <si>
    <t>企業存続の可能性を検討するために損益分岐点売上高を試算する</t>
    <rPh sb="0" eb="2">
      <t>キギョウ</t>
    </rPh>
    <rPh sb="2" eb="4">
      <t>ソンゾク</t>
    </rPh>
    <rPh sb="5" eb="8">
      <t>カノウセイ</t>
    </rPh>
    <rPh sb="9" eb="11">
      <t>ケントウ</t>
    </rPh>
    <rPh sb="16" eb="18">
      <t>ソンエキ</t>
    </rPh>
    <rPh sb="18" eb="21">
      <t>ブンキテン</t>
    </rPh>
    <rPh sb="21" eb="23">
      <t>ウリアゲ</t>
    </rPh>
    <rPh sb="23" eb="24">
      <t>ダカ</t>
    </rPh>
    <rPh sb="25" eb="27">
      <t>シサン</t>
    </rPh>
    <phoneticPr fontId="3"/>
  </si>
  <si>
    <t>ミドルクラス以下のホテルは値下げ圧力が強まると想定されるため、損益計算の観点から最低限必要な販売価格を試算する</t>
    <rPh sb="6" eb="8">
      <t>イカ</t>
    </rPh>
    <rPh sb="13" eb="15">
      <t>ネサ</t>
    </rPh>
    <rPh sb="16" eb="18">
      <t>アツリョク</t>
    </rPh>
    <rPh sb="19" eb="20">
      <t>ツヨ</t>
    </rPh>
    <rPh sb="23" eb="25">
      <t>ソウテイ</t>
    </rPh>
    <rPh sb="31" eb="33">
      <t>ソンエキ</t>
    </rPh>
    <rPh sb="33" eb="35">
      <t>ケイサン</t>
    </rPh>
    <rPh sb="36" eb="38">
      <t>カンテン</t>
    </rPh>
    <rPh sb="40" eb="43">
      <t>サイテイゲン</t>
    </rPh>
    <rPh sb="43" eb="45">
      <t>ヒツヨウ</t>
    </rPh>
    <rPh sb="46" eb="48">
      <t>ハンバイ</t>
    </rPh>
    <rPh sb="48" eb="50">
      <t>カカク</t>
    </rPh>
    <rPh sb="51" eb="53">
      <t>シサン</t>
    </rPh>
    <phoneticPr fontId="3"/>
  </si>
  <si>
    <t>販売価格の考え方（推奨）</t>
    <rPh sb="0" eb="2">
      <t>ハンバイ</t>
    </rPh>
    <rPh sb="2" eb="4">
      <t>カカク</t>
    </rPh>
    <rPh sb="5" eb="6">
      <t>カンガ</t>
    </rPh>
    <rPh sb="7" eb="8">
      <t>カタ</t>
    </rPh>
    <rPh sb="9" eb="11">
      <t>スイショウ</t>
    </rPh>
    <phoneticPr fontId="3"/>
  </si>
  <si>
    <t>このツールの著作権は亜欧堂が保持ますが、変更・修正・再配布などはご自由にご利用くださいませ。</t>
    <rPh sb="6" eb="9">
      <t>チョサクケン</t>
    </rPh>
    <rPh sb="10" eb="11">
      <t>ア</t>
    </rPh>
    <rPh sb="11" eb="12">
      <t>オウ</t>
    </rPh>
    <rPh sb="12" eb="13">
      <t>ドウ</t>
    </rPh>
    <rPh sb="14" eb="16">
      <t>ホジ</t>
    </rPh>
    <rPh sb="20" eb="22">
      <t>ヘンコウ</t>
    </rPh>
    <rPh sb="23" eb="25">
      <t>シュウセイ</t>
    </rPh>
    <rPh sb="26" eb="29">
      <t>サイハイフ</t>
    </rPh>
    <rPh sb="33" eb="35">
      <t>ジユウ</t>
    </rPh>
    <rPh sb="37" eb="39">
      <t>リヨウ</t>
    </rPh>
    <phoneticPr fontId="3"/>
  </si>
  <si>
    <t>使い方</t>
    <rPh sb="0" eb="1">
      <t>ツカ</t>
    </rPh>
    <rPh sb="2" eb="3">
      <t>カタ</t>
    </rPh>
    <phoneticPr fontId="3"/>
  </si>
  <si>
    <t>事業継続の観点からの試算は財務部門などで行うホテルが多いでしょう。</t>
    <rPh sb="0" eb="2">
      <t>ジギョウ</t>
    </rPh>
    <rPh sb="2" eb="4">
      <t>ケイゾク</t>
    </rPh>
    <rPh sb="5" eb="7">
      <t>カンテン</t>
    </rPh>
    <rPh sb="10" eb="12">
      <t>シサン</t>
    </rPh>
    <rPh sb="13" eb="15">
      <t>ザイム</t>
    </rPh>
    <rPh sb="15" eb="17">
      <t>ブモン</t>
    </rPh>
    <rPh sb="20" eb="21">
      <t>オコナ</t>
    </rPh>
    <rPh sb="26" eb="27">
      <t>オオ</t>
    </rPh>
    <phoneticPr fontId="3"/>
  </si>
  <si>
    <t>今回のコロナ禍での資金繰りの構図を簡単に表すと下図の通りとなります。</t>
    <rPh sb="0" eb="2">
      <t>コンカイ</t>
    </rPh>
    <rPh sb="6" eb="7">
      <t>カ</t>
    </rPh>
    <rPh sb="9" eb="11">
      <t>シキン</t>
    </rPh>
    <rPh sb="11" eb="12">
      <t>グ</t>
    </rPh>
    <rPh sb="14" eb="16">
      <t>コウズ</t>
    </rPh>
    <rPh sb="17" eb="19">
      <t>カンタン</t>
    </rPh>
    <rPh sb="20" eb="21">
      <t>アラワ</t>
    </rPh>
    <rPh sb="23" eb="25">
      <t>カズ</t>
    </rPh>
    <rPh sb="26" eb="27">
      <t>トオ</t>
    </rPh>
    <phoneticPr fontId="3"/>
  </si>
  <si>
    <t>※ 実際には期間の観点や支払時期・売掛金の回収時期の問題などもっと詳細に検討します。上記はあくまでイメージとして捉えてください。</t>
    <rPh sb="2" eb="4">
      <t>ジッサイ</t>
    </rPh>
    <rPh sb="6" eb="8">
      <t>キカン</t>
    </rPh>
    <rPh sb="9" eb="11">
      <t>カンテン</t>
    </rPh>
    <rPh sb="12" eb="14">
      <t>シハライ</t>
    </rPh>
    <rPh sb="14" eb="16">
      <t>ジキ</t>
    </rPh>
    <rPh sb="17" eb="19">
      <t>ウリカケ</t>
    </rPh>
    <rPh sb="19" eb="20">
      <t>キン</t>
    </rPh>
    <rPh sb="21" eb="23">
      <t>カイシュウ</t>
    </rPh>
    <rPh sb="23" eb="25">
      <t>ジキ</t>
    </rPh>
    <rPh sb="26" eb="28">
      <t>モンダイ</t>
    </rPh>
    <rPh sb="33" eb="35">
      <t>ショウサイ</t>
    </rPh>
    <rPh sb="36" eb="38">
      <t>ケントウ</t>
    </rPh>
    <rPh sb="42" eb="44">
      <t>ジョウキ</t>
    </rPh>
    <rPh sb="56" eb="57">
      <t>トラ</t>
    </rPh>
    <phoneticPr fontId="3"/>
  </si>
  <si>
    <t>この中でリネン費やアメニティ費などの宿泊部門で主要な費用がADRと客室稼働率のバランスによって変わってくるため、財務部門単独（あるいは一般的な会計士や税理士）で検討が難しいということです。</t>
    <rPh sb="2" eb="3">
      <t>ナカ</t>
    </rPh>
    <rPh sb="7" eb="8">
      <t>ヒ</t>
    </rPh>
    <rPh sb="14" eb="15">
      <t>ヒ</t>
    </rPh>
    <rPh sb="18" eb="20">
      <t>シュクハク</t>
    </rPh>
    <rPh sb="20" eb="22">
      <t>ブモン</t>
    </rPh>
    <rPh sb="23" eb="25">
      <t>シュヨウ</t>
    </rPh>
    <rPh sb="26" eb="28">
      <t>ヒヨウ</t>
    </rPh>
    <rPh sb="33" eb="35">
      <t>キャクシツ</t>
    </rPh>
    <rPh sb="35" eb="37">
      <t>カドウ</t>
    </rPh>
    <rPh sb="37" eb="38">
      <t>リツ</t>
    </rPh>
    <rPh sb="47" eb="48">
      <t>カ</t>
    </rPh>
    <phoneticPr fontId="3"/>
  </si>
  <si>
    <t>そこでこのツールでは、上図の赤文字部分の検討が可能となります。</t>
    <rPh sb="11" eb="13">
      <t>ジョウズ</t>
    </rPh>
    <rPh sb="14" eb="15">
      <t>アカ</t>
    </rPh>
    <rPh sb="15" eb="17">
      <t>モジ</t>
    </rPh>
    <rPh sb="17" eb="19">
      <t>ブブン</t>
    </rPh>
    <rPh sb="20" eb="22">
      <t>ケントウ</t>
    </rPh>
    <rPh sb="23" eb="25">
      <t>カノウ</t>
    </rPh>
    <phoneticPr fontId="3"/>
  </si>
  <si>
    <t>損益分岐点売上高について</t>
    <rPh sb="0" eb="2">
      <t>ソンエキ</t>
    </rPh>
    <rPh sb="2" eb="5">
      <t>ブンキテン</t>
    </rPh>
    <rPh sb="5" eb="7">
      <t>ウリアゲ</t>
    </rPh>
    <rPh sb="7" eb="8">
      <t>ダカ</t>
    </rPh>
    <phoneticPr fontId="3"/>
  </si>
  <si>
    <t>何故ならばそれらの費用は「客室数に応じて変動する」費用ですから、同じ売上であっても「安く販売して客室稼働率を高める」場合には増加し、「高く販売して客室稼働率を抑える」場合には減少するからです。</t>
    <rPh sb="0" eb="2">
      <t>ナゼ</t>
    </rPh>
    <rPh sb="9" eb="11">
      <t>ヒヨウ</t>
    </rPh>
    <rPh sb="13" eb="16">
      <t>キャクシツスウ</t>
    </rPh>
    <rPh sb="17" eb="18">
      <t>オウ</t>
    </rPh>
    <rPh sb="20" eb="22">
      <t>ヘンドウ</t>
    </rPh>
    <rPh sb="25" eb="27">
      <t>ヒヨウ</t>
    </rPh>
    <rPh sb="32" eb="33">
      <t>オナ</t>
    </rPh>
    <rPh sb="34" eb="36">
      <t>ウリアゲ</t>
    </rPh>
    <rPh sb="42" eb="43">
      <t>ヤス</t>
    </rPh>
    <rPh sb="44" eb="46">
      <t>ハンバイ</t>
    </rPh>
    <rPh sb="48" eb="50">
      <t>キャクシツ</t>
    </rPh>
    <rPh sb="50" eb="52">
      <t>カドウ</t>
    </rPh>
    <rPh sb="52" eb="53">
      <t>リツ</t>
    </rPh>
    <rPh sb="54" eb="55">
      <t>タカ</t>
    </rPh>
    <rPh sb="58" eb="60">
      <t>バアイ</t>
    </rPh>
    <rPh sb="62" eb="64">
      <t>ゾウカ</t>
    </rPh>
    <rPh sb="67" eb="68">
      <t>タカ</t>
    </rPh>
    <rPh sb="69" eb="71">
      <t>ハンバイ</t>
    </rPh>
    <rPh sb="73" eb="75">
      <t>キャクシツ</t>
    </rPh>
    <rPh sb="75" eb="77">
      <t>カドウ</t>
    </rPh>
    <rPh sb="77" eb="78">
      <t>リツ</t>
    </rPh>
    <rPh sb="79" eb="80">
      <t>オサ</t>
    </rPh>
    <rPh sb="83" eb="85">
      <t>バアイ</t>
    </rPh>
    <rPh sb="87" eb="89">
      <t>ゲンショウ</t>
    </rPh>
    <phoneticPr fontId="3"/>
  </si>
  <si>
    <t>つまり、販売価格と販売室数のバランスの検討なしには、主要な費用がどのくらいかかるか見当ができないということです。</t>
    <rPh sb="4" eb="6">
      <t>ハンバイ</t>
    </rPh>
    <rPh sb="6" eb="8">
      <t>カカク</t>
    </rPh>
    <rPh sb="9" eb="11">
      <t>ハンバイ</t>
    </rPh>
    <rPh sb="11" eb="12">
      <t>シツ</t>
    </rPh>
    <rPh sb="12" eb="13">
      <t>スウ</t>
    </rPh>
    <rPh sb="19" eb="21">
      <t>ケントウ</t>
    </rPh>
    <rPh sb="26" eb="28">
      <t>シュヨウ</t>
    </rPh>
    <rPh sb="29" eb="31">
      <t>ヒヨウ</t>
    </rPh>
    <rPh sb="41" eb="43">
      <t>ケントウ</t>
    </rPh>
    <phoneticPr fontId="3"/>
  </si>
  <si>
    <t>消毒薬や清掃員向けの防護具など従来必要としていなかった費用の増加</t>
    <rPh sb="0" eb="3">
      <t>ショウドクヤク</t>
    </rPh>
    <rPh sb="4" eb="7">
      <t>セイソウイン</t>
    </rPh>
    <rPh sb="7" eb="8">
      <t>ム</t>
    </rPh>
    <rPh sb="10" eb="12">
      <t>ボウゴ</t>
    </rPh>
    <rPh sb="12" eb="13">
      <t>グ</t>
    </rPh>
    <rPh sb="15" eb="17">
      <t>ジュウライ</t>
    </rPh>
    <rPh sb="17" eb="19">
      <t>ヒツヨウ</t>
    </rPh>
    <rPh sb="27" eb="29">
      <t>ヒヨウ</t>
    </rPh>
    <rPh sb="30" eb="32">
      <t>ゾウカ</t>
    </rPh>
    <phoneticPr fontId="3"/>
  </si>
  <si>
    <t>客室備品の見直し（アルコール消毒液などの客室備品化を想定）</t>
    <rPh sb="0" eb="2">
      <t>キャクシツ</t>
    </rPh>
    <rPh sb="2" eb="4">
      <t>ビヒン</t>
    </rPh>
    <rPh sb="5" eb="7">
      <t>ミナオ</t>
    </rPh>
    <rPh sb="14" eb="16">
      <t>ショウドク</t>
    </rPh>
    <rPh sb="16" eb="17">
      <t>エキ</t>
    </rPh>
    <rPh sb="20" eb="22">
      <t>キャクシツ</t>
    </rPh>
    <rPh sb="22" eb="24">
      <t>ビヒン</t>
    </rPh>
    <rPh sb="24" eb="25">
      <t>カ</t>
    </rPh>
    <rPh sb="26" eb="28">
      <t>ソウテイ</t>
    </rPh>
    <phoneticPr fontId="3"/>
  </si>
  <si>
    <t>今後は収益構造の変化が懸念されます。</t>
    <rPh sb="3" eb="5">
      <t>シュウエキ</t>
    </rPh>
    <rPh sb="5" eb="7">
      <t>コウゾウ</t>
    </rPh>
    <rPh sb="8" eb="10">
      <t>ヘンカ</t>
    </rPh>
    <phoneticPr fontId="3"/>
  </si>
  <si>
    <t>販売数量の抑制</t>
    <rPh sb="0" eb="2">
      <t>ハンバイ</t>
    </rPh>
    <rPh sb="2" eb="4">
      <t>スウリョウ</t>
    </rPh>
    <rPh sb="5" eb="7">
      <t>ヨクセイ</t>
    </rPh>
    <phoneticPr fontId="3"/>
  </si>
  <si>
    <t>需要減少による販売数量の減少</t>
    <rPh sb="0" eb="2">
      <t>ジュヨウ</t>
    </rPh>
    <rPh sb="2" eb="4">
      <t>ゲンショウ</t>
    </rPh>
    <rPh sb="7" eb="9">
      <t>ハンバイ</t>
    </rPh>
    <rPh sb="9" eb="11">
      <t>スウリョウ</t>
    </rPh>
    <rPh sb="12" eb="14">
      <t>ゲンショウ</t>
    </rPh>
    <phoneticPr fontId="3"/>
  </si>
  <si>
    <t>ソーシャルディスタンスの普及による販売可能数の減少 （レストランでは客席を間引く必要が生じる。宿泊にも同様の影響が生じるかは不明）</t>
    <rPh sb="12" eb="14">
      <t>フキュウ</t>
    </rPh>
    <rPh sb="17" eb="19">
      <t>ハンバイ</t>
    </rPh>
    <rPh sb="19" eb="21">
      <t>カノウ</t>
    </rPh>
    <rPh sb="21" eb="22">
      <t>スウ</t>
    </rPh>
    <rPh sb="23" eb="25">
      <t>ゲンショウ</t>
    </rPh>
    <rPh sb="34" eb="36">
      <t>キャクセキ</t>
    </rPh>
    <rPh sb="37" eb="39">
      <t>マビ</t>
    </rPh>
    <rPh sb="40" eb="42">
      <t>ヒツヨウ</t>
    </rPh>
    <rPh sb="43" eb="44">
      <t>ショウ</t>
    </rPh>
    <rPh sb="47" eb="49">
      <t>シュクハク</t>
    </rPh>
    <rPh sb="51" eb="53">
      <t>ドウヨウ</t>
    </rPh>
    <rPh sb="54" eb="56">
      <t>エイキョウ</t>
    </rPh>
    <rPh sb="57" eb="58">
      <t>ショウ</t>
    </rPh>
    <rPh sb="62" eb="64">
      <t>フメイ</t>
    </rPh>
    <phoneticPr fontId="3"/>
  </si>
  <si>
    <t>従業員による感染リスクの忌避 （たくさんのお客様が来れば感染リスクが上がる。感染予防教育によりある程度抑えられるのでは？）</t>
    <rPh sb="0" eb="3">
      <t>ジュウギョウイン</t>
    </rPh>
    <rPh sb="6" eb="8">
      <t>カンセン</t>
    </rPh>
    <rPh sb="12" eb="14">
      <t>キヒ</t>
    </rPh>
    <rPh sb="22" eb="24">
      <t>キャクサマ</t>
    </rPh>
    <rPh sb="25" eb="26">
      <t>ク</t>
    </rPh>
    <rPh sb="28" eb="30">
      <t>カンセン</t>
    </rPh>
    <rPh sb="34" eb="35">
      <t>ア</t>
    </rPh>
    <rPh sb="38" eb="40">
      <t>カンセン</t>
    </rPh>
    <rPh sb="40" eb="42">
      <t>ヨボウ</t>
    </rPh>
    <rPh sb="42" eb="44">
      <t>キョウイク</t>
    </rPh>
    <rPh sb="49" eb="51">
      <t>テイド</t>
    </rPh>
    <rPh sb="51" eb="52">
      <t>オサ</t>
    </rPh>
    <phoneticPr fontId="3"/>
  </si>
  <si>
    <t>地域社会への影響 （緊急事態宣言下の自粛中には県外ナンバーを持つお客様へのネガティブな感情がみられた）</t>
    <rPh sb="0" eb="2">
      <t>チイキ</t>
    </rPh>
    <rPh sb="2" eb="4">
      <t>シャカイ</t>
    </rPh>
    <rPh sb="6" eb="8">
      <t>エイキョウ</t>
    </rPh>
    <rPh sb="10" eb="12">
      <t>キンキュウ</t>
    </rPh>
    <rPh sb="12" eb="14">
      <t>ジタイ</t>
    </rPh>
    <rPh sb="14" eb="16">
      <t>センゲン</t>
    </rPh>
    <rPh sb="16" eb="17">
      <t>カ</t>
    </rPh>
    <rPh sb="18" eb="21">
      <t>ジシュクチュウ</t>
    </rPh>
    <rPh sb="23" eb="25">
      <t>ケンガイ</t>
    </rPh>
    <rPh sb="30" eb="31">
      <t>モ</t>
    </rPh>
    <rPh sb="33" eb="35">
      <t>キャクサマ</t>
    </rPh>
    <rPh sb="43" eb="45">
      <t>カンジョウ</t>
    </rPh>
    <phoneticPr fontId="3"/>
  </si>
  <si>
    <t>費用の増大</t>
    <rPh sb="0" eb="2">
      <t>ヒヨウ</t>
    </rPh>
    <rPh sb="3" eb="5">
      <t>ゾウダイ</t>
    </rPh>
    <phoneticPr fontId="3"/>
  </si>
  <si>
    <t>上記などを踏まえた清掃業者からの値上げ要求</t>
    <rPh sb="0" eb="2">
      <t>ジョウキ</t>
    </rPh>
    <rPh sb="5" eb="6">
      <t>フ</t>
    </rPh>
    <rPh sb="9" eb="11">
      <t>セイソウ</t>
    </rPh>
    <rPh sb="11" eb="13">
      <t>ギョウシャ</t>
    </rPh>
    <rPh sb="16" eb="18">
      <t>ネア</t>
    </rPh>
    <rPh sb="19" eb="21">
      <t>ヨウキュウ</t>
    </rPh>
    <phoneticPr fontId="3"/>
  </si>
  <si>
    <t>利益確保の必要性が増加</t>
    <rPh sb="0" eb="2">
      <t>リエキ</t>
    </rPh>
    <rPh sb="2" eb="4">
      <t>カクホ</t>
    </rPh>
    <rPh sb="5" eb="8">
      <t>ヒツヨウセイ</t>
    </rPh>
    <rPh sb="9" eb="11">
      <t>ゾウカ</t>
    </rPh>
    <phoneticPr fontId="3"/>
  </si>
  <si>
    <t>借入金の返済</t>
    <rPh sb="0" eb="2">
      <t>カリイレ</t>
    </rPh>
    <rPh sb="2" eb="3">
      <t>キン</t>
    </rPh>
    <rPh sb="4" eb="6">
      <t>ヘンサイ</t>
    </rPh>
    <phoneticPr fontId="3"/>
  </si>
  <si>
    <t>オーナーから、運営会社にも運転資金確保を求められる可能性</t>
    <rPh sb="7" eb="9">
      <t>ウンエイ</t>
    </rPh>
    <rPh sb="9" eb="11">
      <t>カイシャ</t>
    </rPh>
    <rPh sb="13" eb="15">
      <t>ウンテン</t>
    </rPh>
    <rPh sb="15" eb="17">
      <t>シキン</t>
    </rPh>
    <rPh sb="17" eb="19">
      <t>カクホ</t>
    </rPh>
    <rPh sb="20" eb="21">
      <t>モト</t>
    </rPh>
    <rPh sb="25" eb="28">
      <t>カノウセイ</t>
    </rPh>
    <phoneticPr fontId="3"/>
  </si>
  <si>
    <t>これらを踏まえて損益計算をやり直すことをおすすめしています。</t>
    <rPh sb="4" eb="5">
      <t>フ</t>
    </rPh>
    <rPh sb="8" eb="10">
      <t>ソンエキ</t>
    </rPh>
    <rPh sb="10" eb="12">
      <t>ケイサン</t>
    </rPh>
    <rPh sb="15" eb="16">
      <t>ナオ</t>
    </rPh>
    <phoneticPr fontId="3"/>
  </si>
  <si>
    <t>上で触れた収支構造の変化から、今後ますます低単価で販売することは経営悪化のリスクを高める可能性が強いです。</t>
    <rPh sb="0" eb="1">
      <t>ウエ</t>
    </rPh>
    <rPh sb="2" eb="3">
      <t>フ</t>
    </rPh>
    <rPh sb="5" eb="7">
      <t>シュウシ</t>
    </rPh>
    <rPh sb="7" eb="9">
      <t>コウゾウ</t>
    </rPh>
    <rPh sb="10" eb="12">
      <t>ヘンカ</t>
    </rPh>
    <rPh sb="15" eb="17">
      <t>コンゴ</t>
    </rPh>
    <rPh sb="21" eb="24">
      <t>テイタンカ</t>
    </rPh>
    <rPh sb="25" eb="27">
      <t>ハンバイ</t>
    </rPh>
    <rPh sb="32" eb="34">
      <t>ケイエイ</t>
    </rPh>
    <rPh sb="34" eb="36">
      <t>アッカ</t>
    </rPh>
    <rPh sb="41" eb="42">
      <t>タカ</t>
    </rPh>
    <rPh sb="44" eb="47">
      <t>カノウセイ</t>
    </rPh>
    <rPh sb="48" eb="49">
      <t>ツヨ</t>
    </rPh>
    <phoneticPr fontId="3"/>
  </si>
  <si>
    <t>このため、以下の考え方を推奨します。</t>
    <rPh sb="5" eb="7">
      <t>イカ</t>
    </rPh>
    <rPh sb="8" eb="9">
      <t>カンガ</t>
    </rPh>
    <rPh sb="10" eb="11">
      <t>カタ</t>
    </rPh>
    <rPh sb="12" eb="14">
      <t>スイショウ</t>
    </rPh>
    <phoneticPr fontId="3"/>
  </si>
  <si>
    <t>（エッセンシャルワーカーの受け入れやリモートワークプランなど）社会的意義のある商品は限定上限を明記したうえで安価に提供する （採算ではなく社会貢献を優先する場合）</t>
    <rPh sb="13" eb="14">
      <t>ウ</t>
    </rPh>
    <rPh sb="15" eb="16">
      <t>イ</t>
    </rPh>
    <rPh sb="31" eb="34">
      <t>シャカイテキ</t>
    </rPh>
    <rPh sb="34" eb="36">
      <t>イギ</t>
    </rPh>
    <rPh sb="39" eb="41">
      <t>ショウヒン</t>
    </rPh>
    <rPh sb="42" eb="44">
      <t>ゲンテイ</t>
    </rPh>
    <rPh sb="44" eb="46">
      <t>ジョウゲン</t>
    </rPh>
    <rPh sb="47" eb="49">
      <t>メイキ</t>
    </rPh>
    <rPh sb="54" eb="56">
      <t>アンカ</t>
    </rPh>
    <rPh sb="57" eb="59">
      <t>テイキョウ</t>
    </rPh>
    <rPh sb="63" eb="65">
      <t>サイサン</t>
    </rPh>
    <rPh sb="69" eb="71">
      <t>シャカイ</t>
    </rPh>
    <rPh sb="71" eb="73">
      <t>コウケン</t>
    </rPh>
    <rPh sb="74" eb="76">
      <t>ユウセン</t>
    </rPh>
    <rPh sb="78" eb="80">
      <t>バアイ</t>
    </rPh>
    <phoneticPr fontId="3"/>
  </si>
  <si>
    <t>月間の客室稼働率が60-80%に改善するまでは、上記価格を維持し、多少のオンハンド増加による料金調整は行わない</t>
    <rPh sb="0" eb="2">
      <t>ゲッカン</t>
    </rPh>
    <rPh sb="3" eb="5">
      <t>キャクシツ</t>
    </rPh>
    <rPh sb="5" eb="7">
      <t>カドウ</t>
    </rPh>
    <rPh sb="7" eb="8">
      <t>リツ</t>
    </rPh>
    <rPh sb="16" eb="18">
      <t>カイゼン</t>
    </rPh>
    <rPh sb="24" eb="26">
      <t>ジョウキ</t>
    </rPh>
    <rPh sb="26" eb="28">
      <t>カカク</t>
    </rPh>
    <rPh sb="29" eb="31">
      <t>イジ</t>
    </rPh>
    <rPh sb="33" eb="35">
      <t>タショウ</t>
    </rPh>
    <rPh sb="41" eb="43">
      <t>ゾウカ</t>
    </rPh>
    <rPh sb="46" eb="48">
      <t>リョウキン</t>
    </rPh>
    <rPh sb="48" eb="50">
      <t>チョウセイ</t>
    </rPh>
    <rPh sb="51" eb="52">
      <t>オコナ</t>
    </rPh>
    <phoneticPr fontId="3"/>
  </si>
  <si>
    <t>価格的競争力を確保するために値下げを検討する場合、必ず損益計算を基に最低価格を決める（最低限客室に必要なリネン費・アメニティ費・清掃費などの主要コストを把握したうえで決める）</t>
    <rPh sb="0" eb="3">
      <t>カカクテキ</t>
    </rPh>
    <rPh sb="3" eb="6">
      <t>キョウソウリョク</t>
    </rPh>
    <rPh sb="7" eb="9">
      <t>カクホ</t>
    </rPh>
    <rPh sb="14" eb="16">
      <t>ネサ</t>
    </rPh>
    <rPh sb="18" eb="20">
      <t>ケントウ</t>
    </rPh>
    <rPh sb="22" eb="24">
      <t>バアイ</t>
    </rPh>
    <rPh sb="25" eb="26">
      <t>カナラ</t>
    </rPh>
    <rPh sb="27" eb="29">
      <t>ソンエキ</t>
    </rPh>
    <rPh sb="29" eb="31">
      <t>ケイサン</t>
    </rPh>
    <rPh sb="32" eb="33">
      <t>モト</t>
    </rPh>
    <rPh sb="34" eb="36">
      <t>サイテイ</t>
    </rPh>
    <rPh sb="36" eb="38">
      <t>カカク</t>
    </rPh>
    <rPh sb="39" eb="40">
      <t>キ</t>
    </rPh>
    <rPh sb="43" eb="46">
      <t>サイテイゲン</t>
    </rPh>
    <rPh sb="46" eb="48">
      <t>キャクシツ</t>
    </rPh>
    <rPh sb="49" eb="51">
      <t>ヒツヨウ</t>
    </rPh>
    <rPh sb="55" eb="56">
      <t>ヒ</t>
    </rPh>
    <rPh sb="62" eb="63">
      <t>ヒ</t>
    </rPh>
    <rPh sb="64" eb="66">
      <t>セイソウ</t>
    </rPh>
    <rPh sb="66" eb="67">
      <t>ヒ</t>
    </rPh>
    <rPh sb="70" eb="72">
      <t>シュヨウ</t>
    </rPh>
    <rPh sb="76" eb="78">
      <t>ハアク</t>
    </rPh>
    <rPh sb="83" eb="84">
      <t>キ</t>
    </rPh>
    <phoneticPr fontId="3"/>
  </si>
  <si>
    <r>
      <rPr>
        <b/>
        <sz val="9"/>
        <color rgb="FFC00000"/>
        <rFont val="ＭＳ Ｐゴシック"/>
        <family val="2"/>
        <charset val="128"/>
      </rPr>
      <t>基本的な商品はこれまでの</t>
    </r>
    <r>
      <rPr>
        <b/>
        <sz val="9"/>
        <color rgb="FFC00000"/>
        <rFont val="Arial"/>
        <family val="2"/>
      </rPr>
      <t>ADR</t>
    </r>
    <r>
      <rPr>
        <b/>
        <sz val="9"/>
        <color rgb="FFC00000"/>
        <rFont val="ＭＳ Ｐゴシック"/>
        <family val="2"/>
        <charset val="128"/>
      </rPr>
      <t>の</t>
    </r>
    <r>
      <rPr>
        <b/>
        <sz val="9"/>
        <color rgb="FFC00000"/>
        <rFont val="Arial"/>
        <family val="2"/>
      </rPr>
      <t>70-80%</t>
    </r>
    <r>
      <rPr>
        <b/>
        <sz val="9"/>
        <color rgb="FFC00000"/>
        <rFont val="ＭＳ Ｐゴシック"/>
        <family val="2"/>
        <charset val="128"/>
      </rPr>
      <t>を維持</t>
    </r>
    <rPh sb="0" eb="3">
      <t>キホンテキ</t>
    </rPh>
    <rPh sb="4" eb="6">
      <t>ショウヒン</t>
    </rPh>
    <rPh sb="23" eb="25">
      <t>イジ</t>
    </rPh>
    <phoneticPr fontId="3"/>
  </si>
  <si>
    <t>①</t>
    <phoneticPr fontId="3"/>
  </si>
  <si>
    <t>「101 LS LY」シートに、コロナ禍発生前の損益計算書の数値を入力します。</t>
    <rPh sb="19" eb="20">
      <t>カ</t>
    </rPh>
    <rPh sb="20" eb="22">
      <t>ハッセイ</t>
    </rPh>
    <rPh sb="22" eb="23">
      <t>マエ</t>
    </rPh>
    <rPh sb="24" eb="26">
      <t>ソンエキ</t>
    </rPh>
    <rPh sb="26" eb="29">
      <t>ケイサンショ</t>
    </rPh>
    <rPh sb="30" eb="32">
      <t>スウチ</t>
    </rPh>
    <rPh sb="33" eb="35">
      <t>ニュウリョク</t>
    </rPh>
    <phoneticPr fontId="3"/>
  </si>
  <si>
    <t>その場合は、「G7」セルの営業日数を調整してください。</t>
    <rPh sb="2" eb="4">
      <t>バアイ</t>
    </rPh>
    <rPh sb="13" eb="15">
      <t>エイギョウ</t>
    </rPh>
    <rPh sb="15" eb="17">
      <t>ニッスウ</t>
    </rPh>
    <rPh sb="18" eb="20">
      <t>チョウセイ</t>
    </rPh>
    <phoneticPr fontId="3"/>
  </si>
  <si>
    <t>※ データは1年であるが休館日がある場合も営業日数の調整を行ってください。</t>
    <rPh sb="7" eb="8">
      <t>ネン</t>
    </rPh>
    <rPh sb="12" eb="15">
      <t>キュウカンビ</t>
    </rPh>
    <rPh sb="18" eb="20">
      <t>バアイ</t>
    </rPh>
    <rPh sb="21" eb="23">
      <t>エイギョウ</t>
    </rPh>
    <rPh sb="23" eb="25">
      <t>ニッスウ</t>
    </rPh>
    <rPh sb="26" eb="28">
      <t>チョウセイ</t>
    </rPh>
    <rPh sb="29" eb="30">
      <t>オコナ</t>
    </rPh>
    <phoneticPr fontId="3"/>
  </si>
  <si>
    <t>人件費は実際の金額でも理論的な金額でも算出できるようにしてあります。</t>
    <rPh sb="0" eb="3">
      <t>ジンケンヒ</t>
    </rPh>
    <rPh sb="4" eb="6">
      <t>ジッサイ</t>
    </rPh>
    <rPh sb="7" eb="9">
      <t>キンガク</t>
    </rPh>
    <rPh sb="11" eb="14">
      <t>リロンテキ</t>
    </rPh>
    <rPh sb="15" eb="17">
      <t>キンガク</t>
    </rPh>
    <rPh sb="19" eb="21">
      <t>サンシュツ</t>
    </rPh>
    <phoneticPr fontId="3"/>
  </si>
  <si>
    <t>②</t>
    <phoneticPr fontId="3"/>
  </si>
  <si>
    <t xml:space="preserve">「111 LS CS1」～「115 LS CS5」シートで ADR, 稼働率、主要費用のうち変更したいものを変更して試算します。 </t>
    <rPh sb="35" eb="37">
      <t>カドウ</t>
    </rPh>
    <rPh sb="37" eb="38">
      <t>リツ</t>
    </rPh>
    <rPh sb="39" eb="41">
      <t>シュヨウ</t>
    </rPh>
    <rPh sb="41" eb="43">
      <t>ヒヨウ</t>
    </rPh>
    <rPh sb="46" eb="48">
      <t>ヘンコウ</t>
    </rPh>
    <rPh sb="54" eb="56">
      <t>ヘンコウ</t>
    </rPh>
    <rPh sb="58" eb="60">
      <t>シサン</t>
    </rPh>
    <phoneticPr fontId="3"/>
  </si>
  <si>
    <t>シートが5つあるのは「客室稼働率を抑えてADRを維持」「ADRを抑えて客室稼働率を維持」といったいくつかのシナリオを検討できるようにしてあるからです。</t>
    <rPh sb="58" eb="60">
      <t>ケントウ</t>
    </rPh>
    <phoneticPr fontId="3"/>
  </si>
  <si>
    <t>費用の修正のうち、人件費と総客手数料は理論的な計算もできるようにしてあります。</t>
    <rPh sb="0" eb="2">
      <t>ヒヨウ</t>
    </rPh>
    <rPh sb="3" eb="5">
      <t>シュウセイ</t>
    </rPh>
    <rPh sb="9" eb="12">
      <t>ジンケンヒ</t>
    </rPh>
    <rPh sb="13" eb="14">
      <t>ソウ</t>
    </rPh>
    <rPh sb="14" eb="15">
      <t>キャク</t>
    </rPh>
    <rPh sb="15" eb="18">
      <t>テスウリョウ</t>
    </rPh>
    <rPh sb="19" eb="22">
      <t>リロンテキ</t>
    </rPh>
    <rPh sb="23" eb="25">
      <t>ケイサン</t>
    </rPh>
    <phoneticPr fontId="3"/>
  </si>
  <si>
    <t>③</t>
    <phoneticPr fontId="3"/>
  </si>
  <si>
    <t>上記各シナリオでの結果は「Summary」シートに反映します。</t>
    <rPh sb="0" eb="2">
      <t>ジョウキ</t>
    </rPh>
    <rPh sb="2" eb="3">
      <t>カク</t>
    </rPh>
    <rPh sb="9" eb="11">
      <t>ケッカ</t>
    </rPh>
    <rPh sb="25" eb="27">
      <t>ハンエイ</t>
    </rPh>
    <phoneticPr fontId="3"/>
  </si>
  <si>
    <r>
      <rPr>
        <sz val="9"/>
        <color theme="0" tint="-0.499984740745262"/>
        <rFont val="ＭＳ Ｐゴシック"/>
        <family val="2"/>
        <charset val="128"/>
      </rPr>
      <t>季節変動がある場合などを考慮して、</t>
    </r>
    <r>
      <rPr>
        <sz val="9"/>
        <color theme="0" tint="-0.499984740745262"/>
        <rFont val="Arial"/>
        <family val="2"/>
      </rPr>
      <t>1</t>
    </r>
    <r>
      <rPr>
        <sz val="9"/>
        <color theme="0" tint="-0.499984740745262"/>
        <rFont val="ＭＳ Ｐゴシック"/>
        <family val="2"/>
        <charset val="128"/>
      </rPr>
      <t>年間（例：</t>
    </r>
    <r>
      <rPr>
        <sz val="9"/>
        <color theme="0" tint="-0.499984740745262"/>
        <rFont val="Arial"/>
        <family val="2"/>
      </rPr>
      <t>2019</t>
    </r>
    <r>
      <rPr>
        <sz val="9"/>
        <color theme="0" tint="-0.499984740745262"/>
        <rFont val="ＭＳ Ｐゴシック"/>
        <family val="2"/>
        <charset val="128"/>
      </rPr>
      <t>年</t>
    </r>
    <r>
      <rPr>
        <sz val="9"/>
        <color theme="0" tint="-0.499984740745262"/>
        <rFont val="Arial"/>
        <family val="2"/>
      </rPr>
      <t>1</t>
    </r>
    <r>
      <rPr>
        <sz val="9"/>
        <color theme="0" tint="-0.499984740745262"/>
        <rFont val="ＭＳ Ｐゴシック"/>
        <family val="2"/>
        <charset val="128"/>
      </rPr>
      <t>月</t>
    </r>
    <r>
      <rPr>
        <sz val="9"/>
        <color theme="0" tint="-0.499984740745262"/>
        <rFont val="Arial"/>
        <family val="2"/>
      </rPr>
      <t>1</t>
    </r>
    <r>
      <rPr>
        <sz val="9"/>
        <color theme="0" tint="-0.499984740745262"/>
        <rFont val="ＭＳ Ｐゴシック"/>
        <family val="2"/>
        <charset val="128"/>
      </rPr>
      <t>日～</t>
    </r>
    <r>
      <rPr>
        <sz val="9"/>
        <color theme="0" tint="-0.499984740745262"/>
        <rFont val="Arial"/>
        <family val="2"/>
      </rPr>
      <t>2019</t>
    </r>
    <r>
      <rPr>
        <sz val="9"/>
        <color theme="0" tint="-0.499984740745262"/>
        <rFont val="ＭＳ Ｐゴシック"/>
        <family val="2"/>
        <charset val="128"/>
      </rPr>
      <t>年</t>
    </r>
    <r>
      <rPr>
        <sz val="9"/>
        <color theme="0" tint="-0.499984740745262"/>
        <rFont val="Arial"/>
        <family val="2"/>
      </rPr>
      <t>12</t>
    </r>
    <r>
      <rPr>
        <sz val="9"/>
        <color theme="0" tint="-0.499984740745262"/>
        <rFont val="ＭＳ Ｐゴシック"/>
        <family val="2"/>
        <charset val="128"/>
      </rPr>
      <t>月</t>
    </r>
    <r>
      <rPr>
        <sz val="9"/>
        <color theme="0" tint="-0.499984740745262"/>
        <rFont val="Arial"/>
        <family val="2"/>
      </rPr>
      <t>31</t>
    </r>
    <r>
      <rPr>
        <sz val="9"/>
        <color theme="0" tint="-0.499984740745262"/>
        <rFont val="ＭＳ Ｐゴシック"/>
        <family val="2"/>
        <charset val="128"/>
      </rPr>
      <t>日）のデータを使うことを推奨しますが、任意期間のデータでも</t>
    </r>
    <r>
      <rPr>
        <sz val="9"/>
        <color theme="0" tint="-0.499984740745262"/>
        <rFont val="Arial"/>
        <family val="2"/>
      </rPr>
      <t>OK</t>
    </r>
    <r>
      <rPr>
        <sz val="9"/>
        <color theme="0" tint="-0.499984740745262"/>
        <rFont val="ＭＳ Ｐゴシック"/>
        <family val="2"/>
        <charset val="128"/>
      </rPr>
      <t>です。</t>
    </r>
    <rPh sb="0" eb="2">
      <t>キセツ</t>
    </rPh>
    <rPh sb="2" eb="4">
      <t>ヘンドウ</t>
    </rPh>
    <rPh sb="7" eb="9">
      <t>バアイ</t>
    </rPh>
    <rPh sb="12" eb="14">
      <t>コウリョ</t>
    </rPh>
    <rPh sb="18" eb="20">
      <t>ネンカン</t>
    </rPh>
    <rPh sb="21" eb="22">
      <t>レイ</t>
    </rPh>
    <rPh sb="27" eb="28">
      <t>ネン</t>
    </rPh>
    <rPh sb="29" eb="30">
      <t>ガツ</t>
    </rPh>
    <rPh sb="31" eb="32">
      <t>ニチ</t>
    </rPh>
    <rPh sb="37" eb="38">
      <t>ネン</t>
    </rPh>
    <rPh sb="40" eb="41">
      <t>ガツ</t>
    </rPh>
    <rPh sb="43" eb="44">
      <t>ニチ</t>
    </rPh>
    <rPh sb="50" eb="51">
      <t>ツカ</t>
    </rPh>
    <rPh sb="55" eb="57">
      <t>スイショウ</t>
    </rPh>
    <rPh sb="62" eb="64">
      <t>ニンイ</t>
    </rPh>
    <rPh sb="64" eb="66">
      <t>キカン</t>
    </rPh>
    <phoneticPr fontId="3"/>
  </si>
  <si>
    <t>変動価格制が定着した現在では「売上高に応じて変わる変動費」を前提とした損益分岐点売上高の計算式は宿泊部門では使用できないのです。</t>
    <rPh sb="0" eb="2">
      <t>ヘンドウ</t>
    </rPh>
    <rPh sb="2" eb="5">
      <t>カカクセイ</t>
    </rPh>
    <rPh sb="6" eb="8">
      <t>テイチャク</t>
    </rPh>
    <rPh sb="10" eb="12">
      <t>ゲンザイ</t>
    </rPh>
    <rPh sb="15" eb="17">
      <t>ウリアゲ</t>
    </rPh>
    <rPh sb="17" eb="18">
      <t>ダカ</t>
    </rPh>
    <rPh sb="19" eb="20">
      <t>オウ</t>
    </rPh>
    <rPh sb="22" eb="23">
      <t>カ</t>
    </rPh>
    <rPh sb="25" eb="27">
      <t>ヘンドウ</t>
    </rPh>
    <rPh sb="27" eb="28">
      <t>ヒ</t>
    </rPh>
    <rPh sb="30" eb="32">
      <t>ゼンテイ</t>
    </rPh>
    <rPh sb="35" eb="37">
      <t>ソンエキ</t>
    </rPh>
    <rPh sb="37" eb="40">
      <t>ブンキテン</t>
    </rPh>
    <rPh sb="40" eb="42">
      <t>ウリアゲ</t>
    </rPh>
    <rPh sb="42" eb="43">
      <t>ダカ</t>
    </rPh>
    <rPh sb="44" eb="47">
      <t>ケイサンシキ</t>
    </rPh>
    <rPh sb="48" eb="50">
      <t>シュクハク</t>
    </rPh>
    <rPh sb="50" eb="52">
      <t>ブモン</t>
    </rPh>
    <rPh sb="54" eb="56">
      <t>シヨウ</t>
    </rPh>
    <phoneticPr fontId="3"/>
  </si>
  <si>
    <t>更新日：</t>
    <rPh sb="0" eb="3">
      <t>コウシンビ</t>
    </rPh>
    <phoneticPr fontId="3"/>
  </si>
  <si>
    <t>ADR 1%改善</t>
    <rPh sb="6" eb="8">
      <t>カイゼン</t>
    </rPh>
    <phoneticPr fontId="3"/>
  </si>
  <si>
    <t>販売室数 1%改善</t>
    <rPh sb="0" eb="4">
      <t>ハンバイシツスウ</t>
    </rPh>
    <rPh sb="7" eb="9">
      <t>カイゼン</t>
    </rPh>
    <phoneticPr fontId="3"/>
  </si>
  <si>
    <t>年間稼働率</t>
    <rPh sb="0" eb="2">
      <t>ネンカン</t>
    </rPh>
    <rPh sb="2" eb="4">
      <t>カドウ</t>
    </rPh>
    <rPh sb="4" eb="5">
      <t>リツ</t>
    </rPh>
    <phoneticPr fontId="3"/>
  </si>
  <si>
    <t>客室売上</t>
    <rPh sb="0" eb="2">
      <t>キャクシツ</t>
    </rPh>
    <rPh sb="2" eb="4">
      <t>ウリアゲ</t>
    </rPh>
    <phoneticPr fontId="3"/>
  </si>
  <si>
    <t>その他売上</t>
    <rPh sb="2" eb="3">
      <t>ホカ</t>
    </rPh>
    <rPh sb="3" eb="5">
      <t>ウリアゲ</t>
    </rPh>
    <phoneticPr fontId="3"/>
  </si>
  <si>
    <t>宿泊部門売上合計</t>
    <rPh sb="0" eb="2">
      <t>シュクハク</t>
    </rPh>
    <rPh sb="2" eb="4">
      <t>ブモン</t>
    </rPh>
    <rPh sb="4" eb="6">
      <t>ウリアゲ</t>
    </rPh>
    <rPh sb="6" eb="8">
      <t>ゴウケイ</t>
    </rPh>
    <phoneticPr fontId="3"/>
  </si>
  <si>
    <r>
      <t>ADR</t>
    </r>
    <r>
      <rPr>
        <sz val="9"/>
        <color rgb="FF3F3F76"/>
        <rFont val="メイリオ"/>
        <family val="2"/>
        <charset val="128"/>
      </rPr>
      <t>を</t>
    </r>
    <r>
      <rPr>
        <sz val="9"/>
        <color rgb="FF3F3F76"/>
        <rFont val="Arial"/>
        <family val="2"/>
      </rPr>
      <t>100</t>
    </r>
    <r>
      <rPr>
        <sz val="9"/>
        <color rgb="FF3F3F76"/>
        <rFont val="メイリオ"/>
        <family val="2"/>
        <charset val="128"/>
      </rPr>
      <t>円上げ前年と同GOPのOCC</t>
    </r>
    <rPh sb="7" eb="8">
      <t>エン</t>
    </rPh>
    <rPh sb="8" eb="9">
      <t>ア</t>
    </rPh>
    <rPh sb="10" eb="12">
      <t>ゼンネン</t>
    </rPh>
    <rPh sb="13" eb="14">
      <t>オナ</t>
    </rPh>
    <phoneticPr fontId="3"/>
  </si>
  <si>
    <r>
      <t>ADR</t>
    </r>
    <r>
      <rPr>
        <sz val="9"/>
        <color rgb="FF3F3F76"/>
        <rFont val="メイリオ"/>
        <family val="2"/>
        <charset val="128"/>
      </rPr>
      <t>を5</t>
    </r>
    <r>
      <rPr>
        <sz val="9"/>
        <color rgb="FF3F3F76"/>
        <rFont val="Arial"/>
        <family val="2"/>
      </rPr>
      <t>00</t>
    </r>
    <r>
      <rPr>
        <sz val="9"/>
        <color rgb="FF3F3F76"/>
        <rFont val="メイリオ"/>
        <family val="2"/>
        <charset val="128"/>
      </rPr>
      <t>円上げ前年と同GOPのOCC</t>
    </r>
    <rPh sb="7" eb="8">
      <t>エン</t>
    </rPh>
    <rPh sb="8" eb="9">
      <t>ア</t>
    </rPh>
    <rPh sb="10" eb="12">
      <t>ゼンネン</t>
    </rPh>
    <rPh sb="13" eb="14">
      <t>オナ</t>
    </rPh>
    <phoneticPr fontId="3"/>
  </si>
  <si>
    <t>前年との差額</t>
    <rPh sb="0" eb="2">
      <t>ゼンネン</t>
    </rPh>
    <rPh sb="4" eb="6">
      <t>サガク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</si>
</sst>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
    <numFmt numFmtId="177" formatCode="&quot;(FTE) &quot;#,##0.00;[Red]\-#,##0.00"/>
    <numFmt numFmtId="178" formatCode="#,##0&quot;室&quot;"/>
  </numFmts>
  <fonts count="59">
    <font>
      <sz val="9"/>
      <color theme="1"/>
      <name val="Arial"/>
      <family val="2"/>
      <charset val="128"/>
    </font>
    <font>
      <sz val="11"/>
      <color theme="1"/>
      <name val="メイリオ"/>
      <family val="2"/>
      <charset val="128"/>
      <scheme val="minor"/>
    </font>
    <font>
      <sz val="9"/>
      <color theme="1"/>
      <name val="ＭＳ Ｐゴシック"/>
      <family val="2"/>
      <charset val="128"/>
    </font>
    <font>
      <sz val="6"/>
      <name val="Arial"/>
      <family val="2"/>
      <charset val="128"/>
    </font>
    <font>
      <u/>
      <sz val="9"/>
      <color theme="10"/>
      <name val="Arial"/>
      <family val="2"/>
    </font>
    <font>
      <b/>
      <sz val="12"/>
      <color theme="3"/>
      <name val="メイリオ"/>
      <family val="3"/>
      <charset val="128"/>
      <scheme val="minor"/>
    </font>
    <font>
      <u/>
      <sz val="9"/>
      <color theme="11"/>
      <name val="Arial"/>
      <family val="2"/>
      <charset val="128"/>
    </font>
    <font>
      <b/>
      <sz val="9"/>
      <color theme="3"/>
      <name val="ＭＳ Ｐゴシック"/>
      <family val="3"/>
      <charset val="128"/>
    </font>
    <font>
      <sz val="9"/>
      <color theme="1"/>
      <name val="Arial"/>
      <family val="2"/>
      <charset val="128"/>
    </font>
    <font>
      <sz val="9"/>
      <color theme="1"/>
      <name val="Arial"/>
      <family val="2"/>
    </font>
    <font>
      <sz val="9"/>
      <color rgb="FF3F3F76"/>
      <name val="Arial"/>
      <family val="2"/>
    </font>
    <font>
      <b/>
      <sz val="15"/>
      <color theme="3"/>
      <name val="Arial"/>
      <family val="2"/>
    </font>
    <font>
      <b/>
      <sz val="15"/>
      <color theme="3"/>
      <name val="ＭＳ Ｐゴシック"/>
      <family val="2"/>
      <charset val="128"/>
    </font>
    <font>
      <sz val="9"/>
      <color theme="1"/>
      <name val="ＭＳ Ｐゴシック"/>
      <family val="3"/>
      <charset val="128"/>
    </font>
    <font>
      <b/>
      <sz val="9"/>
      <color theme="1"/>
      <name val="ＭＳ Ｐゴシック"/>
      <family val="3"/>
      <charset val="128"/>
    </font>
    <font>
      <b/>
      <sz val="9"/>
      <color theme="1"/>
      <name val="Arial"/>
      <family val="2"/>
    </font>
    <font>
      <sz val="9"/>
      <color theme="1"/>
      <name val="メイリオ"/>
      <family val="3"/>
      <charset val="128"/>
      <scheme val="minor"/>
    </font>
    <font>
      <b/>
      <sz val="9"/>
      <color theme="1"/>
      <name val="メイリオ"/>
      <family val="3"/>
      <charset val="128"/>
      <scheme val="minor"/>
    </font>
    <font>
      <b/>
      <sz val="9"/>
      <color rgb="FFFF0000"/>
      <name val="ＭＳ Ｐゴシック"/>
      <family val="3"/>
      <charset val="128"/>
    </font>
    <font>
      <sz val="8"/>
      <color theme="1"/>
      <name val="ＭＳ Ｐゴシック"/>
      <family val="2"/>
      <charset val="128"/>
    </font>
    <font>
      <sz val="8"/>
      <color theme="1"/>
      <name val="Arial"/>
      <family val="2"/>
    </font>
    <font>
      <sz val="8"/>
      <color theme="0" tint="-0.499984740745262"/>
      <name val="Arial"/>
      <family val="2"/>
    </font>
    <font>
      <sz val="9"/>
      <color theme="0" tint="-0.499984740745262"/>
      <name val="Arial"/>
      <family val="2"/>
    </font>
    <font>
      <sz val="9"/>
      <color theme="0" tint="-0.499984740745262"/>
      <name val="ＭＳ Ｐゴシック"/>
      <family val="3"/>
      <charset val="128"/>
    </font>
    <font>
      <sz val="9"/>
      <color theme="0" tint="-0.499984740745262"/>
      <name val="ＭＳ Ｐゴシック"/>
      <family val="2"/>
      <charset val="128"/>
    </font>
    <font>
      <sz val="8"/>
      <color rgb="FF3F3F76"/>
      <name val="Arial"/>
      <family val="2"/>
    </font>
    <font>
      <i/>
      <sz val="8"/>
      <color theme="1"/>
      <name val="Arial"/>
      <family val="2"/>
    </font>
    <font>
      <i/>
      <sz val="8"/>
      <color theme="1"/>
      <name val="ＭＳ Ｐゴシック"/>
      <family val="3"/>
      <charset val="128"/>
    </font>
    <font>
      <b/>
      <sz val="9"/>
      <color theme="1"/>
      <name val="ＭＳ Ｐゴシック"/>
      <family val="2"/>
      <charset val="128"/>
    </font>
    <font>
      <b/>
      <sz val="9"/>
      <color theme="0"/>
      <name val="ＭＳ Ｐゴシック"/>
      <family val="2"/>
      <charset val="128"/>
    </font>
    <font>
      <b/>
      <sz val="9"/>
      <color theme="0"/>
      <name val="Arial"/>
      <family val="2"/>
    </font>
    <font>
      <sz val="9"/>
      <color theme="0"/>
      <name val="Arial"/>
      <family val="2"/>
    </font>
    <font>
      <b/>
      <sz val="9"/>
      <color rgb="FF3F3F76"/>
      <name val="Arial"/>
      <family val="2"/>
    </font>
    <font>
      <sz val="11"/>
      <color rgb="FF006100"/>
      <name val="メイリオ"/>
      <family val="2"/>
      <charset val="128"/>
      <scheme val="minor"/>
    </font>
    <font>
      <sz val="11"/>
      <color rgb="FF9C0006"/>
      <name val="メイリオ"/>
      <family val="2"/>
      <charset val="128"/>
      <scheme val="minor"/>
    </font>
    <font>
      <sz val="11"/>
      <color rgb="FF9C5700"/>
      <name val="メイリオ"/>
      <family val="2"/>
      <charset val="128"/>
      <scheme val="minor"/>
    </font>
    <font>
      <sz val="9"/>
      <color rgb="FF006100"/>
      <name val="メイリオ"/>
      <family val="2"/>
      <charset val="128"/>
      <scheme val="minor"/>
    </font>
    <font>
      <sz val="9"/>
      <color rgb="FF9C5700"/>
      <name val="メイリオ"/>
      <family val="2"/>
      <charset val="128"/>
      <scheme val="minor"/>
    </font>
    <font>
      <sz val="9"/>
      <color rgb="FF9C0006"/>
      <name val="メイリオ"/>
      <family val="3"/>
      <charset val="128"/>
      <scheme val="minor"/>
    </font>
    <font>
      <sz val="9"/>
      <color theme="1"/>
      <name val="メイリオ"/>
      <family val="3"/>
      <charset val="128"/>
      <scheme val="major"/>
    </font>
    <font>
      <sz val="9"/>
      <color theme="0" tint="-0.499984740745262"/>
      <name val="メイリオ"/>
      <family val="3"/>
      <charset val="128"/>
      <scheme val="major"/>
    </font>
    <font>
      <sz val="9"/>
      <color indexed="81"/>
      <name val="MS P ゴシック"/>
      <family val="3"/>
      <charset val="128"/>
    </font>
    <font>
      <b/>
      <sz val="9"/>
      <color indexed="81"/>
      <name val="MS P ゴシック"/>
      <family val="3"/>
      <charset val="128"/>
    </font>
    <font>
      <sz val="9"/>
      <color rgb="FF9C5700"/>
      <name val="メイリオ"/>
      <family val="3"/>
      <charset val="128"/>
      <scheme val="minor"/>
    </font>
    <font>
      <sz val="9"/>
      <color rgb="FF3F3F76"/>
      <name val="ＭＳ Ｐゴシック"/>
      <family val="2"/>
      <charset val="128"/>
    </font>
    <font>
      <sz val="9"/>
      <color theme="1"/>
      <name val="ＭＳ ゴシック"/>
      <family val="3"/>
      <charset val="128"/>
    </font>
    <font>
      <sz val="9"/>
      <name val="ＭＳ Ｐゴシック"/>
      <family val="3"/>
      <charset val="128"/>
    </font>
    <font>
      <b/>
      <sz val="9"/>
      <color rgb="FFC00000"/>
      <name val="ＭＳ Ｐゴシック"/>
      <family val="2"/>
      <charset val="128"/>
    </font>
    <font>
      <b/>
      <sz val="9"/>
      <color rgb="FFC00000"/>
      <name val="Arial"/>
      <family val="2"/>
    </font>
    <font>
      <b/>
      <sz val="9"/>
      <color rgb="FFC00000"/>
      <name val="ＭＳ Ｐゴシック"/>
      <family val="3"/>
      <charset val="128"/>
    </font>
    <font>
      <b/>
      <sz val="9"/>
      <color rgb="FFC00000"/>
      <name val="Arial"/>
      <family val="2"/>
      <charset val="128"/>
    </font>
    <font>
      <sz val="9"/>
      <color theme="0" tint="-0.499984740745262"/>
      <name val="Arial"/>
      <family val="2"/>
      <charset val="128"/>
    </font>
    <font>
      <u/>
      <sz val="9"/>
      <color theme="10"/>
      <name val="メイリオ"/>
      <family val="3"/>
      <charset val="128"/>
      <scheme val="minor"/>
    </font>
    <font>
      <b/>
      <sz val="15"/>
      <color theme="3"/>
      <name val="メイリオ"/>
      <family val="3"/>
      <charset val="128"/>
      <scheme val="minor"/>
    </font>
    <font>
      <sz val="8"/>
      <color theme="1"/>
      <name val="メイリオ"/>
      <family val="3"/>
      <charset val="128"/>
      <scheme val="minor"/>
    </font>
    <font>
      <b/>
      <sz val="9"/>
      <color theme="0"/>
      <name val="メイリオ"/>
      <family val="3"/>
      <charset val="128"/>
      <scheme val="minor"/>
    </font>
    <font>
      <i/>
      <sz val="8"/>
      <color theme="1"/>
      <name val="メイリオ"/>
      <family val="3"/>
      <charset val="128"/>
      <scheme val="minor"/>
    </font>
    <font>
      <sz val="9"/>
      <color rgb="FF3F3F76"/>
      <name val="メイリオ"/>
      <family val="2"/>
      <charset val="128"/>
    </font>
    <font>
      <b/>
      <sz val="8"/>
      <color theme="0"/>
      <name val="メイリオ"/>
      <family val="3"/>
      <charset val="128"/>
      <scheme val="minor"/>
    </font>
  </fonts>
  <fills count="11">
    <fill>
      <patternFill patternType="none"/>
    </fill>
    <fill>
      <patternFill patternType="gray125"/>
    </fill>
    <fill>
      <patternFill patternType="solid">
        <fgColor rgb="FFFFFFCC"/>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6" tint="0.39997558519241921"/>
        <bgColor indexed="64"/>
      </patternFill>
    </fill>
    <fill>
      <patternFill patternType="solid">
        <fgColor rgb="FFFFFF00"/>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style="thin">
        <color theme="0" tint="-0.499984740745262"/>
      </top>
      <bottom style="thin">
        <color theme="0" tint="-0.4999847407452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theme="0" tint="-0.499984740745262"/>
      </top>
      <bottom/>
      <diagonal/>
    </border>
    <border>
      <left/>
      <right/>
      <top/>
      <bottom style="thin">
        <color theme="0" tint="-0.499984740745262"/>
      </bottom>
      <diagonal/>
    </border>
  </borders>
  <cellStyleXfs count="49">
    <xf numFmtId="0" fontId="0" fillId="0" borderId="0">
      <alignment vertical="center"/>
    </xf>
    <xf numFmtId="0" fontId="11" fillId="0" borderId="1" applyNumberFormat="0" applyFill="0" applyAlignment="0" applyProtection="0">
      <alignment vertical="center"/>
    </xf>
    <xf numFmtId="0" fontId="5" fillId="0" borderId="2" applyNumberFormat="0" applyFill="0" applyAlignment="0" applyProtection="0">
      <alignment vertical="center"/>
    </xf>
    <xf numFmtId="0" fontId="4" fillId="0" borderId="0" applyNumberFormat="0" applyFill="0" applyBorder="0" applyAlignment="0" applyProtection="0">
      <alignment vertical="top"/>
      <protection locked="0"/>
    </xf>
    <xf numFmtId="0" fontId="7" fillId="0" borderId="0" applyNumberFormat="0" applyFill="0" applyBorder="0" applyAlignment="0" applyProtection="0"/>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0" fillId="3" borderId="0" applyNumberFormat="0" applyBorder="0" applyAlignment="0">
      <alignment vertical="center"/>
      <protection locked="0"/>
    </xf>
    <xf numFmtId="0" fontId="8" fillId="2" borderId="0" applyNumberFormat="0" applyFont="0" applyAlignment="0">
      <alignment vertical="center"/>
      <protection locked="0"/>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9" fontId="8" fillId="0" borderId="0" applyFont="0" applyFill="0" applyBorder="0" applyAlignment="0" applyProtection="0">
      <alignment vertical="center"/>
    </xf>
    <xf numFmtId="0" fontId="33" fillId="6" borderId="0" applyNumberFormat="0" applyBorder="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cellStyleXfs>
  <cellXfs count="159">
    <xf numFmtId="0" fontId="0" fillId="0" borderId="0" xfId="0">
      <alignment vertical="center"/>
    </xf>
    <xf numFmtId="0" fontId="9" fillId="0" borderId="0" xfId="0" applyFont="1" applyAlignment="1">
      <alignment horizontal="right" vertical="center"/>
    </xf>
    <xf numFmtId="0" fontId="9" fillId="0" borderId="0" xfId="0" applyFont="1">
      <alignment vertical="center"/>
    </xf>
    <xf numFmtId="0" fontId="11" fillId="0" borderId="1" xfId="1" applyFont="1">
      <alignment vertical="center"/>
    </xf>
    <xf numFmtId="0" fontId="4" fillId="0" borderId="1" xfId="3" applyFont="1" applyBorder="1" applyAlignment="1" applyProtection="1">
      <alignment vertical="center"/>
    </xf>
    <xf numFmtId="0" fontId="11" fillId="0" borderId="1" xfId="1">
      <alignment vertical="center"/>
    </xf>
    <xf numFmtId="0" fontId="12" fillId="0" borderId="1" xfId="1" applyFont="1">
      <alignment vertical="center"/>
    </xf>
    <xf numFmtId="0" fontId="2" fillId="0" borderId="0" xfId="0" applyFont="1">
      <alignment vertical="center"/>
    </xf>
    <xf numFmtId="0" fontId="13" fillId="0" borderId="0" xfId="0" applyFont="1">
      <alignment vertical="center"/>
    </xf>
    <xf numFmtId="0" fontId="14" fillId="0" borderId="0" xfId="0" applyFont="1">
      <alignment vertical="center"/>
    </xf>
    <xf numFmtId="0" fontId="10" fillId="3" borderId="0" xfId="41">
      <alignment vertical="center"/>
      <protection locked="0"/>
    </xf>
    <xf numFmtId="6" fontId="10" fillId="3" borderId="0" xfId="44" applyNumberFormat="1" applyFont="1" applyFill="1" applyAlignment="1" applyProtection="1">
      <alignment vertical="center" shrinkToFit="1"/>
      <protection locked="0"/>
    </xf>
    <xf numFmtId="6" fontId="9" fillId="0" borderId="0" xfId="0" applyNumberFormat="1" applyFont="1">
      <alignment vertical="center"/>
    </xf>
    <xf numFmtId="0" fontId="16" fillId="0" borderId="0" xfId="0" applyFont="1">
      <alignment vertical="center"/>
    </xf>
    <xf numFmtId="0" fontId="17" fillId="0" borderId="0" xfId="0" applyFont="1">
      <alignment vertical="center"/>
    </xf>
    <xf numFmtId="0" fontId="2" fillId="0" borderId="0" xfId="0" quotePrefix="1" applyFont="1">
      <alignment vertical="center"/>
    </xf>
    <xf numFmtId="0" fontId="2" fillId="0" borderId="0" xfId="0" quotePrefix="1" applyFont="1" applyAlignment="1">
      <alignment horizontal="left" vertical="center" indent="2"/>
    </xf>
    <xf numFmtId="6" fontId="9" fillId="0" borderId="0" xfId="44" applyFont="1">
      <alignment vertical="center"/>
    </xf>
    <xf numFmtId="6" fontId="9" fillId="0" borderId="0" xfId="44" applyFont="1" applyAlignment="1">
      <alignment horizontal="left" vertical="center"/>
    </xf>
    <xf numFmtId="6" fontId="2" fillId="0" borderId="0" xfId="44" applyFont="1">
      <alignment vertical="center"/>
    </xf>
    <xf numFmtId="0" fontId="18" fillId="0" borderId="0" xfId="0" applyFont="1">
      <alignment vertical="center"/>
    </xf>
    <xf numFmtId="0" fontId="2" fillId="0" borderId="3" xfId="0" applyFont="1" applyBorder="1">
      <alignment vertical="center"/>
    </xf>
    <xf numFmtId="0" fontId="9" fillId="0" borderId="3" xfId="0" applyFont="1" applyBorder="1">
      <alignment vertical="center"/>
    </xf>
    <xf numFmtId="38" fontId="9" fillId="0" borderId="3" xfId="43" applyFont="1" applyBorder="1">
      <alignment vertical="center"/>
    </xf>
    <xf numFmtId="38" fontId="10" fillId="3" borderId="3" xfId="43" applyFont="1" applyFill="1" applyBorder="1" applyProtection="1">
      <alignment vertical="center"/>
      <protection locked="0"/>
    </xf>
    <xf numFmtId="6" fontId="10" fillId="3" borderId="3" xfId="44" applyFont="1" applyFill="1" applyBorder="1" applyProtection="1">
      <alignment vertical="center"/>
      <protection locked="0"/>
    </xf>
    <xf numFmtId="6" fontId="9" fillId="0" borderId="3" xfId="0" applyNumberFormat="1" applyFont="1" applyBorder="1">
      <alignment vertical="center"/>
    </xf>
    <xf numFmtId="176" fontId="10" fillId="3" borderId="3" xfId="44" applyNumberFormat="1" applyFont="1" applyFill="1" applyBorder="1" applyProtection="1">
      <alignment vertical="center"/>
      <protection locked="0"/>
    </xf>
    <xf numFmtId="0" fontId="2" fillId="0" borderId="3" xfId="0" applyFont="1" applyBorder="1" applyAlignment="1">
      <alignment horizontal="right" vertical="center"/>
    </xf>
    <xf numFmtId="0" fontId="10" fillId="3" borderId="3" xfId="41" applyFont="1" applyBorder="1">
      <alignment vertical="center"/>
      <protection locked="0"/>
    </xf>
    <xf numFmtId="0" fontId="9" fillId="0" borderId="3" xfId="0" applyFont="1" applyBorder="1" applyAlignment="1">
      <alignment horizontal="right" vertical="center"/>
    </xf>
    <xf numFmtId="0" fontId="20" fillId="0" borderId="3" xfId="0" applyFont="1" applyBorder="1">
      <alignment vertical="center"/>
    </xf>
    <xf numFmtId="0" fontId="9" fillId="0" borderId="0" xfId="0" applyFont="1" applyBorder="1">
      <alignment vertical="center"/>
    </xf>
    <xf numFmtId="0" fontId="9" fillId="4" borderId="4" xfId="0" applyFont="1" applyFill="1" applyBorder="1">
      <alignment vertical="center"/>
    </xf>
    <xf numFmtId="0" fontId="9" fillId="4" borderId="5" xfId="0" applyFont="1" applyFill="1" applyBorder="1">
      <alignment vertical="center"/>
    </xf>
    <xf numFmtId="0" fontId="9" fillId="4" borderId="6" xfId="0" applyFont="1" applyFill="1" applyBorder="1">
      <alignment vertical="center"/>
    </xf>
    <xf numFmtId="0" fontId="9" fillId="4" borderId="7" xfId="0" applyFont="1" applyFill="1" applyBorder="1">
      <alignment vertical="center"/>
    </xf>
    <xf numFmtId="0" fontId="9" fillId="4" borderId="0" xfId="0" applyFont="1" applyFill="1" applyBorder="1">
      <alignment vertical="center"/>
    </xf>
    <xf numFmtId="0" fontId="9" fillId="4" borderId="8" xfId="0" applyFont="1" applyFill="1" applyBorder="1">
      <alignment vertical="center"/>
    </xf>
    <xf numFmtId="0" fontId="2" fillId="4" borderId="7" xfId="0" applyFont="1" applyFill="1" applyBorder="1">
      <alignment vertical="center"/>
    </xf>
    <xf numFmtId="38" fontId="9" fillId="4" borderId="0" xfId="43" applyFont="1" applyFill="1" applyBorder="1">
      <alignment vertical="center"/>
    </xf>
    <xf numFmtId="0" fontId="9" fillId="4" borderId="7" xfId="0" applyFont="1" applyFill="1" applyBorder="1" applyAlignment="1">
      <alignment horizontal="right" vertical="center"/>
    </xf>
    <xf numFmtId="0" fontId="9" fillId="4" borderId="0" xfId="0" applyFont="1" applyFill="1" applyBorder="1" applyAlignment="1">
      <alignment horizontal="right" vertical="center"/>
    </xf>
    <xf numFmtId="0" fontId="9" fillId="4" borderId="9" xfId="0" applyFont="1" applyFill="1" applyBorder="1">
      <alignment vertical="center"/>
    </xf>
    <xf numFmtId="38" fontId="10" fillId="3" borderId="10" xfId="41" applyNumberFormat="1" applyBorder="1">
      <alignment vertical="center"/>
      <protection locked="0"/>
    </xf>
    <xf numFmtId="38" fontId="10" fillId="3" borderId="11" xfId="41" applyNumberFormat="1" applyBorder="1">
      <alignment vertical="center"/>
      <protection locked="0"/>
    </xf>
    <xf numFmtId="6" fontId="20" fillId="0" borderId="3" xfId="0" applyNumberFormat="1" applyFont="1" applyBorder="1">
      <alignment vertical="center"/>
    </xf>
    <xf numFmtId="6" fontId="25" fillId="3" borderId="3" xfId="44" applyFont="1" applyFill="1" applyBorder="1" applyProtection="1">
      <alignment vertical="center"/>
      <protection locked="0"/>
    </xf>
    <xf numFmtId="176" fontId="9" fillId="0" borderId="3" xfId="45" applyNumberFormat="1" applyFont="1" applyBorder="1">
      <alignment vertical="center"/>
    </xf>
    <xf numFmtId="0" fontId="27" fillId="0" borderId="3" xfId="0" applyFont="1" applyBorder="1" applyAlignment="1">
      <alignment horizontal="left" vertical="center" indent="1"/>
    </xf>
    <xf numFmtId="6" fontId="26" fillId="0" borderId="3" xfId="0" applyNumberFormat="1" applyFont="1" applyBorder="1">
      <alignment vertical="center"/>
    </xf>
    <xf numFmtId="176" fontId="26" fillId="0" borderId="3" xfId="45" applyNumberFormat="1" applyFont="1" applyBorder="1">
      <alignment vertical="center"/>
    </xf>
    <xf numFmtId="0" fontId="24" fillId="0" borderId="3" xfId="0" applyFont="1" applyBorder="1" applyAlignment="1">
      <alignment horizontal="right" vertical="center"/>
    </xf>
    <xf numFmtId="0" fontId="23" fillId="0" borderId="3" xfId="0" applyFont="1" applyBorder="1" applyAlignment="1">
      <alignment horizontal="right" vertical="center"/>
    </xf>
    <xf numFmtId="0" fontId="29" fillId="5" borderId="3" xfId="0" applyFont="1" applyFill="1" applyBorder="1">
      <alignment vertical="center"/>
    </xf>
    <xf numFmtId="6" fontId="30" fillId="5" borderId="3" xfId="0" applyNumberFormat="1" applyFont="1" applyFill="1" applyBorder="1">
      <alignment vertical="center"/>
    </xf>
    <xf numFmtId="176" fontId="30" fillId="5" borderId="3" xfId="45" applyNumberFormat="1" applyFont="1" applyFill="1" applyBorder="1">
      <alignment vertical="center"/>
    </xf>
    <xf numFmtId="0" fontId="31" fillId="5" borderId="3" xfId="0" applyFont="1" applyFill="1" applyBorder="1">
      <alignment vertical="center"/>
    </xf>
    <xf numFmtId="0" fontId="30" fillId="5" borderId="3" xfId="0" applyFont="1" applyFill="1" applyBorder="1">
      <alignment vertical="center"/>
    </xf>
    <xf numFmtId="0" fontId="15" fillId="0" borderId="3" xfId="0" applyFont="1" applyBorder="1">
      <alignment vertical="center"/>
    </xf>
    <xf numFmtId="176" fontId="32" fillId="3" borderId="3" xfId="41" applyNumberFormat="1" applyFont="1" applyBorder="1">
      <alignment vertical="center"/>
      <protection locked="0"/>
    </xf>
    <xf numFmtId="6" fontId="32" fillId="3" borderId="3" xfId="44" applyFont="1" applyFill="1" applyBorder="1" applyProtection="1">
      <alignment vertical="center"/>
      <protection locked="0"/>
    </xf>
    <xf numFmtId="0" fontId="9" fillId="2" borderId="3" xfId="42" applyFont="1" applyBorder="1">
      <alignment vertical="center"/>
      <protection locked="0"/>
    </xf>
    <xf numFmtId="6" fontId="9" fillId="0" borderId="3" xfId="44" applyFont="1" applyBorder="1">
      <alignment vertical="center"/>
    </xf>
    <xf numFmtId="0" fontId="13" fillId="0" borderId="3" xfId="0" applyFont="1" applyBorder="1">
      <alignment vertical="center"/>
    </xf>
    <xf numFmtId="6" fontId="22" fillId="0" borderId="3" xfId="44" applyFont="1" applyBorder="1">
      <alignment vertical="center"/>
    </xf>
    <xf numFmtId="177" fontId="9" fillId="0" borderId="3" xfId="0" applyNumberFormat="1" applyFont="1" applyBorder="1">
      <alignment vertical="center"/>
    </xf>
    <xf numFmtId="6" fontId="22" fillId="0" borderId="3" xfId="0" applyNumberFormat="1" applyFont="1" applyBorder="1">
      <alignment vertical="center"/>
    </xf>
    <xf numFmtId="6" fontId="21" fillId="0" borderId="3" xfId="0" applyNumberFormat="1" applyFont="1" applyBorder="1">
      <alignment vertical="center"/>
    </xf>
    <xf numFmtId="0" fontId="22" fillId="0" borderId="3" xfId="0" applyFont="1" applyBorder="1" applyAlignment="1">
      <alignment horizontal="right" vertical="center"/>
    </xf>
    <xf numFmtId="0" fontId="9" fillId="0" borderId="3" xfId="0" applyFont="1" applyBorder="1" applyProtection="1">
      <alignment vertical="center"/>
      <protection locked="0"/>
    </xf>
    <xf numFmtId="38" fontId="9" fillId="0" borderId="3" xfId="0" applyNumberFormat="1" applyFont="1" applyBorder="1">
      <alignment vertical="center"/>
    </xf>
    <xf numFmtId="0" fontId="24" fillId="0" borderId="3" xfId="0" applyFont="1" applyBorder="1">
      <alignment vertical="center"/>
    </xf>
    <xf numFmtId="0" fontId="2" fillId="0" borderId="12" xfId="0" applyFont="1" applyBorder="1">
      <alignment vertical="center"/>
    </xf>
    <xf numFmtId="0" fontId="9" fillId="0" borderId="13" xfId="0" applyFont="1" applyBorder="1">
      <alignment vertical="center"/>
    </xf>
    <xf numFmtId="0" fontId="9" fillId="0" borderId="12" xfId="0" applyFont="1" applyBorder="1">
      <alignment vertical="center"/>
    </xf>
    <xf numFmtId="0" fontId="0" fillId="4" borderId="7" xfId="0" applyFont="1" applyFill="1" applyBorder="1">
      <alignment vertical="center"/>
    </xf>
    <xf numFmtId="0" fontId="0" fillId="0" borderId="0" xfId="0" applyFont="1">
      <alignment vertical="center"/>
    </xf>
    <xf numFmtId="0" fontId="36" fillId="6" borderId="3" xfId="46" applyFont="1" applyBorder="1">
      <alignment vertical="center"/>
    </xf>
    <xf numFmtId="0" fontId="37" fillId="8" borderId="3" xfId="48" applyFont="1" applyBorder="1">
      <alignment vertical="center"/>
    </xf>
    <xf numFmtId="0" fontId="38" fillId="7" borderId="3" xfId="47" applyFont="1" applyBorder="1">
      <alignment vertical="center"/>
    </xf>
    <xf numFmtId="0" fontId="10" fillId="3" borderId="3" xfId="41" applyBorder="1">
      <alignment vertical="center"/>
      <protection locked="0"/>
    </xf>
    <xf numFmtId="0" fontId="2" fillId="0" borderId="0" xfId="0" applyFont="1" applyAlignment="1">
      <alignment horizontal="right" vertical="center"/>
    </xf>
    <xf numFmtId="0" fontId="27" fillId="9" borderId="3" xfId="0" applyFont="1" applyFill="1" applyBorder="1" applyAlignment="1">
      <alignment horizontal="left" vertical="center" indent="1"/>
    </xf>
    <xf numFmtId="6" fontId="26" fillId="9" borderId="3" xfId="0" applyNumberFormat="1" applyFont="1" applyFill="1" applyBorder="1">
      <alignment vertical="center"/>
    </xf>
    <xf numFmtId="176" fontId="26" fillId="9" borderId="3" xfId="45" applyNumberFormat="1" applyFont="1" applyFill="1" applyBorder="1">
      <alignment vertical="center"/>
    </xf>
    <xf numFmtId="0" fontId="9" fillId="9" borderId="3" xfId="0" applyFont="1" applyFill="1" applyBorder="1">
      <alignment vertical="center"/>
    </xf>
    <xf numFmtId="0" fontId="2" fillId="9" borderId="3" xfId="0" applyFont="1" applyFill="1" applyBorder="1" applyAlignment="1">
      <alignment horizontal="right" vertical="center"/>
    </xf>
    <xf numFmtId="0" fontId="24" fillId="9" borderId="3" xfId="0" applyFont="1" applyFill="1" applyBorder="1" applyAlignment="1">
      <alignment horizontal="right" vertical="center"/>
    </xf>
    <xf numFmtId="0" fontId="23" fillId="9" borderId="3" xfId="0" applyFont="1" applyFill="1" applyBorder="1" applyAlignment="1">
      <alignment horizontal="right" vertical="center"/>
    </xf>
    <xf numFmtId="0" fontId="2" fillId="9" borderId="3" xfId="0" applyFont="1" applyFill="1" applyBorder="1">
      <alignment vertical="center"/>
    </xf>
    <xf numFmtId="6" fontId="9" fillId="9" borderId="3" xfId="0" applyNumberFormat="1" applyFont="1" applyFill="1" applyBorder="1">
      <alignment vertical="center"/>
    </xf>
    <xf numFmtId="0" fontId="39" fillId="9" borderId="3" xfId="0" applyFont="1" applyFill="1" applyBorder="1" applyAlignment="1">
      <alignment horizontal="right" vertical="center"/>
    </xf>
    <xf numFmtId="0" fontId="40" fillId="9" borderId="3" xfId="0" applyFont="1" applyFill="1" applyBorder="1">
      <alignment vertical="center"/>
    </xf>
    <xf numFmtId="0" fontId="39" fillId="9" borderId="3" xfId="0" applyFont="1" applyFill="1" applyBorder="1">
      <alignment vertical="center"/>
    </xf>
    <xf numFmtId="38" fontId="22" fillId="9" borderId="3" xfId="43" applyFont="1" applyFill="1" applyBorder="1">
      <alignment vertical="center"/>
    </xf>
    <xf numFmtId="6" fontId="22" fillId="0" borderId="12" xfId="44" applyFont="1" applyBorder="1">
      <alignment vertical="center"/>
    </xf>
    <xf numFmtId="178" fontId="22" fillId="0" borderId="3" xfId="43" applyNumberFormat="1" applyFont="1" applyBorder="1">
      <alignment vertical="center"/>
    </xf>
    <xf numFmtId="0" fontId="43" fillId="8" borderId="3" xfId="48" applyFont="1" applyBorder="1">
      <alignment vertical="center"/>
    </xf>
    <xf numFmtId="0" fontId="44" fillId="3" borderId="3" xfId="41" applyFont="1" applyBorder="1">
      <alignment vertical="center"/>
      <protection locked="0"/>
    </xf>
    <xf numFmtId="0" fontId="45" fillId="0" borderId="3" xfId="0" applyFont="1" applyBorder="1">
      <alignment vertical="center"/>
    </xf>
    <xf numFmtId="6" fontId="22" fillId="10" borderId="3" xfId="0" applyNumberFormat="1" applyFont="1" applyFill="1" applyBorder="1">
      <alignment vertical="center"/>
    </xf>
    <xf numFmtId="0" fontId="19" fillId="0" borderId="3" xfId="0" applyFont="1" applyBorder="1" applyAlignment="1">
      <alignment horizontal="right" vertical="center"/>
    </xf>
    <xf numFmtId="0" fontId="2" fillId="0" borderId="12" xfId="0" applyFont="1" applyBorder="1" applyAlignment="1">
      <alignment horizontal="right" vertical="center"/>
    </xf>
    <xf numFmtId="176" fontId="2" fillId="0" borderId="3" xfId="0" applyNumberFormat="1" applyFont="1" applyBorder="1" applyAlignment="1">
      <alignment horizontal="right" vertical="center"/>
    </xf>
    <xf numFmtId="6" fontId="2" fillId="0" borderId="3" xfId="0" applyNumberFormat="1" applyFont="1" applyBorder="1" applyAlignment="1">
      <alignment horizontal="right" vertical="center"/>
    </xf>
    <xf numFmtId="6" fontId="2" fillId="0" borderId="3" xfId="44" applyFont="1" applyBorder="1" applyAlignment="1">
      <alignment horizontal="right" vertical="center"/>
    </xf>
    <xf numFmtId="176" fontId="2" fillId="0" borderId="3" xfId="45" applyNumberFormat="1" applyFont="1" applyBorder="1" applyAlignment="1">
      <alignment horizontal="right" vertical="center"/>
    </xf>
    <xf numFmtId="0" fontId="9" fillId="10" borderId="3" xfId="0" applyFont="1" applyFill="1" applyBorder="1">
      <alignment vertical="center"/>
    </xf>
    <xf numFmtId="178" fontId="22" fillId="10" borderId="3" xfId="43" applyNumberFormat="1" applyFont="1" applyFill="1" applyBorder="1">
      <alignment vertical="center"/>
    </xf>
    <xf numFmtId="6" fontId="9" fillId="10" borderId="3" xfId="44" applyFont="1" applyFill="1" applyBorder="1">
      <alignment vertical="center"/>
    </xf>
    <xf numFmtId="176" fontId="9" fillId="10" borderId="3" xfId="0" applyNumberFormat="1" applyFont="1" applyFill="1" applyBorder="1">
      <alignment vertical="center"/>
    </xf>
    <xf numFmtId="6" fontId="9" fillId="10" borderId="3" xfId="44" applyFont="1" applyFill="1" applyBorder="1" applyAlignment="1">
      <alignment horizontal="right" vertical="center"/>
    </xf>
    <xf numFmtId="176" fontId="22" fillId="0" borderId="3" xfId="45" applyNumberFormat="1" applyFont="1" applyBorder="1">
      <alignment vertical="center"/>
    </xf>
    <xf numFmtId="0" fontId="46" fillId="0" borderId="3" xfId="0" applyFont="1" applyBorder="1" applyAlignment="1">
      <alignment horizontal="right" vertical="center"/>
    </xf>
    <xf numFmtId="0" fontId="11" fillId="0" borderId="1" xfId="1" applyFont="1" applyAlignment="1">
      <alignment horizontal="right" vertical="center"/>
    </xf>
    <xf numFmtId="176" fontId="10" fillId="3" borderId="3" xfId="45" applyNumberFormat="1" applyFont="1" applyFill="1" applyBorder="1" applyProtection="1">
      <alignment vertical="center"/>
      <protection locked="0"/>
    </xf>
    <xf numFmtId="0" fontId="5" fillId="0" borderId="2" xfId="2">
      <alignment vertical="center"/>
    </xf>
    <xf numFmtId="14" fontId="9" fillId="0" borderId="0" xfId="0" applyNumberFormat="1" applyFont="1">
      <alignment vertical="center"/>
    </xf>
    <xf numFmtId="0" fontId="4" fillId="0" borderId="0" xfId="3" applyAlignment="1" applyProtection="1">
      <alignment vertical="center"/>
    </xf>
    <xf numFmtId="0" fontId="47" fillId="0" borderId="0" xfId="0" applyFont="1">
      <alignment vertical="center"/>
    </xf>
    <xf numFmtId="0" fontId="48" fillId="0" borderId="0" xfId="0" applyFont="1">
      <alignment vertical="center"/>
    </xf>
    <xf numFmtId="0" fontId="49" fillId="0" borderId="0" xfId="0" applyFont="1">
      <alignment vertical="center"/>
    </xf>
    <xf numFmtId="0" fontId="50" fillId="0" borderId="0" xfId="0" applyFont="1">
      <alignment vertical="center"/>
    </xf>
    <xf numFmtId="0" fontId="51" fillId="0" borderId="0" xfId="0" applyFont="1">
      <alignment vertical="center"/>
    </xf>
    <xf numFmtId="0" fontId="22" fillId="0" borderId="0" xfId="0" applyFont="1">
      <alignment vertical="center"/>
    </xf>
    <xf numFmtId="0" fontId="24" fillId="0" borderId="0" xfId="0" applyFont="1">
      <alignment vertical="center"/>
    </xf>
    <xf numFmtId="0" fontId="52" fillId="0" borderId="1" xfId="3" applyFont="1" applyBorder="1" applyAlignment="1" applyProtection="1">
      <alignment vertical="center"/>
    </xf>
    <xf numFmtId="0" fontId="53" fillId="0" borderId="1" xfId="1" applyFont="1">
      <alignment vertical="center"/>
    </xf>
    <xf numFmtId="0" fontId="53" fillId="0" borderId="1" xfId="1" applyFont="1" applyAlignment="1">
      <alignment horizontal="right" vertical="center"/>
    </xf>
    <xf numFmtId="0" fontId="16" fillId="0" borderId="0" xfId="0" applyFont="1" applyAlignment="1">
      <alignment horizontal="right" vertical="center"/>
    </xf>
    <xf numFmtId="14" fontId="16" fillId="0" borderId="0" xfId="0" applyNumberFormat="1" applyFont="1">
      <alignment vertical="center"/>
    </xf>
    <xf numFmtId="0" fontId="16" fillId="0" borderId="0" xfId="0" applyFont="1" applyAlignment="1">
      <alignment horizontal="right" vertical="center" shrinkToFit="1"/>
    </xf>
    <xf numFmtId="0" fontId="17" fillId="0" borderId="3" xfId="0" applyFont="1" applyBorder="1">
      <alignment vertical="center"/>
    </xf>
    <xf numFmtId="176" fontId="16" fillId="0" borderId="3" xfId="45" applyNumberFormat="1" applyFont="1" applyBorder="1">
      <alignment vertical="center"/>
    </xf>
    <xf numFmtId="6" fontId="16" fillId="0" borderId="3" xfId="0" applyNumberFormat="1" applyFont="1" applyBorder="1">
      <alignment vertical="center"/>
    </xf>
    <xf numFmtId="0" fontId="16" fillId="0" borderId="3" xfId="0" applyFont="1" applyBorder="1">
      <alignment vertical="center"/>
    </xf>
    <xf numFmtId="6" fontId="54" fillId="0" borderId="3" xfId="0" applyNumberFormat="1" applyFont="1" applyBorder="1">
      <alignment vertical="center"/>
    </xf>
    <xf numFmtId="0" fontId="55" fillId="5" borderId="3" xfId="0" applyFont="1" applyFill="1" applyBorder="1">
      <alignment vertical="center"/>
    </xf>
    <xf numFmtId="6" fontId="55" fillId="5" borderId="3" xfId="0" applyNumberFormat="1" applyFont="1" applyFill="1" applyBorder="1">
      <alignment vertical="center"/>
    </xf>
    <xf numFmtId="176" fontId="55" fillId="5" borderId="3" xfId="45" applyNumberFormat="1" applyFont="1" applyFill="1" applyBorder="1">
      <alignment vertical="center"/>
    </xf>
    <xf numFmtId="0" fontId="56" fillId="0" borderId="0" xfId="0" applyFont="1" applyFill="1" applyBorder="1" applyAlignment="1">
      <alignment horizontal="left" vertical="center" indent="1"/>
    </xf>
    <xf numFmtId="176" fontId="56" fillId="0" borderId="0" xfId="45" applyNumberFormat="1" applyFont="1">
      <alignment vertical="center"/>
    </xf>
    <xf numFmtId="0" fontId="56" fillId="0" borderId="3" xfId="0" applyFont="1" applyBorder="1" applyAlignment="1">
      <alignment horizontal="left" vertical="center" indent="1"/>
    </xf>
    <xf numFmtId="6" fontId="56" fillId="0" borderId="3" xfId="0" applyNumberFormat="1" applyFont="1" applyBorder="1">
      <alignment vertical="center"/>
    </xf>
    <xf numFmtId="176" fontId="56" fillId="0" borderId="3" xfId="45" applyNumberFormat="1" applyFont="1" applyBorder="1">
      <alignment vertical="center"/>
    </xf>
    <xf numFmtId="0" fontId="56" fillId="9" borderId="3" xfId="0" applyFont="1" applyFill="1" applyBorder="1" applyAlignment="1">
      <alignment horizontal="left" vertical="center" indent="1"/>
    </xf>
    <xf numFmtId="6" fontId="56" fillId="9" borderId="3" xfId="0" applyNumberFormat="1" applyFont="1" applyFill="1" applyBorder="1">
      <alignment vertical="center"/>
    </xf>
    <xf numFmtId="176" fontId="56" fillId="9" borderId="3" xfId="45" applyNumberFormat="1" applyFont="1" applyFill="1" applyBorder="1">
      <alignment vertical="center"/>
    </xf>
    <xf numFmtId="176" fontId="55" fillId="5" borderId="3" xfId="0" applyNumberFormat="1" applyFont="1" applyFill="1" applyBorder="1">
      <alignment vertical="center"/>
    </xf>
    <xf numFmtId="176" fontId="16" fillId="0" borderId="3" xfId="0" applyNumberFormat="1" applyFont="1" applyBorder="1">
      <alignment vertical="center"/>
    </xf>
    <xf numFmtId="14" fontId="9" fillId="0" borderId="0" xfId="0" applyNumberFormat="1" applyFont="1" applyAlignment="1">
      <alignment horizontal="left" vertical="center"/>
    </xf>
    <xf numFmtId="0" fontId="10" fillId="3" borderId="0" xfId="41" applyAlignment="1">
      <alignment horizontal="left" vertical="center"/>
      <protection locked="0"/>
    </xf>
    <xf numFmtId="0" fontId="10" fillId="3" borderId="3" xfId="41" applyBorder="1">
      <alignment vertical="center"/>
      <protection locked="0"/>
    </xf>
    <xf numFmtId="0" fontId="44" fillId="3" borderId="0" xfId="41" applyFont="1" applyAlignment="1">
      <alignment horizontal="left" vertical="center"/>
      <protection locked="0"/>
    </xf>
    <xf numFmtId="176" fontId="54" fillId="0" borderId="3" xfId="45" applyNumberFormat="1" applyFont="1" applyBorder="1">
      <alignment vertical="center"/>
    </xf>
    <xf numFmtId="0" fontId="54" fillId="0" borderId="0" xfId="0" applyFont="1">
      <alignment vertical="center"/>
    </xf>
    <xf numFmtId="0" fontId="54" fillId="0" borderId="3" xfId="0" applyFont="1" applyBorder="1">
      <alignment vertical="center"/>
    </xf>
    <xf numFmtId="6" fontId="58" fillId="5" borderId="3" xfId="0" applyNumberFormat="1" applyFont="1" applyFill="1" applyBorder="1">
      <alignment vertical="center"/>
    </xf>
  </cellXfs>
  <cellStyles count="49">
    <cellStyle name="どちらでもない" xfId="48" builtinId="28"/>
    <cellStyle name="パーセント" xfId="45" builtinId="5"/>
    <cellStyle name="ハイパーリンク" xfId="3" builtinId="8"/>
    <cellStyle name="メモ" xfId="42" builtinId="10" customBuiltin="1"/>
    <cellStyle name="悪い" xfId="47" builtinId="27"/>
    <cellStyle name="桁区切り" xfId="43" builtinId="6"/>
    <cellStyle name="見出し 1" xfId="1" builtinId="16" customBuiltin="1"/>
    <cellStyle name="見出し 2" xfId="2" builtinId="17" customBuiltin="1"/>
    <cellStyle name="見出し 4" xfId="4" builtinId="19" customBuiltin="1"/>
    <cellStyle name="通貨" xfId="44" builtinId="7"/>
    <cellStyle name="入力" xfId="41" builtinId="20" customBuiltin="1"/>
    <cellStyle name="標準" xfId="0" builtinId="0"/>
    <cellStyle name="表示済みのハイパーリンク" xfId="5" builtinId="9" hidden="1"/>
    <cellStyle name="表示済みのハイパーリンク" xfId="6" builtinId="9" hidden="1"/>
    <cellStyle name="表示済みのハイパーリンク" xfId="7" builtinId="9" hidden="1"/>
    <cellStyle name="表示済みのハイパーリンク" xfId="8" builtinId="9" hidden="1"/>
    <cellStyle name="表示済みのハイパーリンク" xfId="9" builtinId="9" hidden="1"/>
    <cellStyle name="表示済みのハイパーリンク" xfId="10" builtinId="9" hidden="1"/>
    <cellStyle name="表示済みのハイパーリンク" xfId="11" builtinId="9" hidden="1"/>
    <cellStyle name="表示済みのハイパーリンク" xfId="12" builtinId="9" hidden="1"/>
    <cellStyle name="表示済みのハイパーリンク" xfId="13" builtinId="9" hidden="1"/>
    <cellStyle name="表示済みのハイパーリンク" xfId="14" builtinId="9" hidden="1"/>
    <cellStyle name="表示済みのハイパーリンク" xfId="15" builtinId="9" hidden="1"/>
    <cellStyle name="表示済みのハイパーリンク" xfId="16" builtinId="9" hidden="1"/>
    <cellStyle name="表示済みのハイパーリンク" xfId="17" builtinId="9" hidden="1"/>
    <cellStyle name="表示済みのハイパーリンク" xfId="18" builtinId="9" hidden="1"/>
    <cellStyle name="表示済みのハイパーリンク" xfId="19" builtinId="9" hidden="1"/>
    <cellStyle name="表示済みのハイパーリンク" xfId="20" builtinId="9" hidden="1"/>
    <cellStyle name="表示済みのハイパーリンク" xfId="21" builtinId="9" hidden="1"/>
    <cellStyle name="表示済みのハイパーリンク" xfId="22" builtinId="9" hidden="1"/>
    <cellStyle name="表示済みのハイパーリンク" xfId="23" builtinId="9" hidden="1"/>
    <cellStyle name="表示済みのハイパーリンク" xfId="24" builtinId="9" hidden="1"/>
    <cellStyle name="表示済みのハイパーリンク" xfId="25" builtinId="9" hidden="1"/>
    <cellStyle name="表示済みのハイパーリンク" xfId="26" builtinId="9" hidden="1"/>
    <cellStyle name="表示済みのハイパーリンク" xfId="27" builtinId="9" hidden="1"/>
    <cellStyle name="表示済みのハイパーリンク" xfId="28" builtinId="9" hidden="1"/>
    <cellStyle name="表示済みのハイパーリンク" xfId="29" builtinId="9" hidden="1"/>
    <cellStyle name="表示済みのハイパーリンク" xfId="30" builtinId="9" hidden="1"/>
    <cellStyle name="表示済みのハイパーリンク" xfId="31" builtinId="9" hidden="1"/>
    <cellStyle name="表示済みのハイパーリンク" xfId="32" builtinId="9" hidden="1"/>
    <cellStyle name="表示済みのハイパーリンク" xfId="33" builtinId="9" hidden="1"/>
    <cellStyle name="表示済みのハイパーリンク" xfId="34" builtinId="9" hidden="1"/>
    <cellStyle name="表示済みのハイパーリンク" xfId="35" builtinId="9" hidden="1"/>
    <cellStyle name="表示済みのハイパーリンク" xfId="36" builtinId="9" hidden="1"/>
    <cellStyle name="表示済みのハイパーリンク" xfId="37" builtinId="9" hidden="1"/>
    <cellStyle name="表示済みのハイパーリンク" xfId="38" builtinId="9" hidden="1"/>
    <cellStyle name="表示済みのハイパーリンク" xfId="39" builtinId="9" hidden="1"/>
    <cellStyle name="表示済みのハイパーリンク" xfId="40" builtinId="9" hidden="1"/>
    <cellStyle name="良い" xfId="46" builtinId="26"/>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F4D4DA6B-442E-458F-ACDC-5217E0B82FD6}" type="doc">
      <dgm:prSet loTypeId="urn:microsoft.com/office/officeart/2005/8/layout/process1" loCatId="process" qsTypeId="urn:microsoft.com/office/officeart/2005/8/quickstyle/simple1" qsCatId="simple" csTypeId="urn:microsoft.com/office/officeart/2005/8/colors/accent1_2" csCatId="accent1" phldr="1"/>
      <dgm:spPr/>
      <dgm:t>
        <a:bodyPr/>
        <a:lstStyle/>
        <a:p>
          <a:endParaRPr kumimoji="1" lang="ja-JP" altLang="en-US"/>
        </a:p>
      </dgm:t>
    </dgm:pt>
    <dgm:pt modelId="{FD84313B-06F9-47D5-AFEF-71473422CF59}">
      <dgm:prSet phldrT="[テキスト]"/>
      <dgm:spPr/>
      <dgm:t>
        <a:bodyPr anchor="t"/>
        <a:lstStyle/>
        <a:p>
          <a:r>
            <a:rPr kumimoji="1" lang="ja-JP" altLang="en-US"/>
            <a:t>現在の</a:t>
          </a:r>
          <a:br>
            <a:rPr kumimoji="1" lang="en-US" altLang="ja-JP"/>
          </a:br>
          <a:r>
            <a:rPr kumimoji="1" lang="ja-JP" altLang="en-US"/>
            <a:t>手元資金</a:t>
          </a:r>
        </a:p>
      </dgm:t>
    </dgm:pt>
    <dgm:pt modelId="{B46C6BE6-8816-4973-ADFB-29E76C883FC6}" type="parTrans" cxnId="{F989F75F-8A7F-44F9-96D2-064A6FABBD34}">
      <dgm:prSet/>
      <dgm:spPr/>
      <dgm:t>
        <a:bodyPr/>
        <a:lstStyle/>
        <a:p>
          <a:endParaRPr kumimoji="1" lang="ja-JP" altLang="en-US"/>
        </a:p>
      </dgm:t>
    </dgm:pt>
    <dgm:pt modelId="{A803BD7C-7A60-4A3C-AB93-ADA8D680EBEC}" type="sibTrans" cxnId="{F989F75F-8A7F-44F9-96D2-064A6FABBD34}">
      <dgm:prSet/>
      <dgm:spPr/>
      <dgm:t>
        <a:bodyPr/>
        <a:lstStyle/>
        <a:p>
          <a:endParaRPr kumimoji="1" lang="ja-JP" altLang="en-US"/>
        </a:p>
      </dgm:t>
    </dgm:pt>
    <dgm:pt modelId="{5B53FE9A-72FA-442A-98FA-D7C2895F7762}">
      <dgm:prSet phldrT="[テキスト]"/>
      <dgm:spPr/>
      <dgm:t>
        <a:bodyPr anchor="t"/>
        <a:lstStyle/>
        <a:p>
          <a:r>
            <a:rPr kumimoji="1" lang="ja-JP" altLang="en-US">
              <a:solidFill>
                <a:srgbClr val="C00000"/>
              </a:solidFill>
            </a:rPr>
            <a:t>売上による</a:t>
          </a:r>
          <a:br>
            <a:rPr kumimoji="1" lang="en-US" altLang="ja-JP">
              <a:solidFill>
                <a:srgbClr val="C00000"/>
              </a:solidFill>
            </a:rPr>
          </a:br>
          <a:r>
            <a:rPr kumimoji="1" lang="ja-JP" altLang="en-US">
              <a:solidFill>
                <a:srgbClr val="C00000"/>
              </a:solidFill>
            </a:rPr>
            <a:t>収入</a:t>
          </a:r>
        </a:p>
      </dgm:t>
    </dgm:pt>
    <dgm:pt modelId="{6E2B47DF-0809-4C16-9A9A-DE308F771D38}" type="parTrans" cxnId="{A796F61F-B051-4535-99C1-2E09C79594B6}">
      <dgm:prSet/>
      <dgm:spPr/>
      <dgm:t>
        <a:bodyPr/>
        <a:lstStyle/>
        <a:p>
          <a:endParaRPr kumimoji="1" lang="ja-JP" altLang="en-US"/>
        </a:p>
      </dgm:t>
    </dgm:pt>
    <dgm:pt modelId="{D9612BBA-8FF2-4631-B143-A99C17E4DD5E}" type="sibTrans" cxnId="{A796F61F-B051-4535-99C1-2E09C79594B6}">
      <dgm:prSet/>
      <dgm:spPr/>
      <dgm:t>
        <a:bodyPr/>
        <a:lstStyle/>
        <a:p>
          <a:endParaRPr kumimoji="1" lang="ja-JP" altLang="en-US"/>
        </a:p>
      </dgm:t>
    </dgm:pt>
    <dgm:pt modelId="{6F80AFAC-5CBF-48EC-809F-6BF13FA3AB90}">
      <dgm:prSet phldrT="[テキスト]"/>
      <dgm:spPr/>
      <dgm:t>
        <a:bodyPr anchor="t"/>
        <a:lstStyle/>
        <a:p>
          <a:r>
            <a:rPr kumimoji="1" lang="ja-JP" altLang="en-US"/>
            <a:t>支払いによる支出</a:t>
          </a:r>
        </a:p>
      </dgm:t>
    </dgm:pt>
    <dgm:pt modelId="{A30E2DE0-E724-4C94-A4C9-435430C3C725}" type="parTrans" cxnId="{3173AA0C-DA30-4E9F-B9C3-C9034915D514}">
      <dgm:prSet/>
      <dgm:spPr/>
      <dgm:t>
        <a:bodyPr/>
        <a:lstStyle/>
        <a:p>
          <a:endParaRPr kumimoji="1" lang="ja-JP" altLang="en-US"/>
        </a:p>
      </dgm:t>
    </dgm:pt>
    <dgm:pt modelId="{D3F9568A-A4CA-454F-B92C-EE4E68AC6169}" type="sibTrans" cxnId="{3173AA0C-DA30-4E9F-B9C3-C9034915D514}">
      <dgm:prSet/>
      <dgm:spPr/>
      <dgm:t>
        <a:bodyPr/>
        <a:lstStyle/>
        <a:p>
          <a:endParaRPr kumimoji="1" lang="ja-JP" altLang="en-US"/>
        </a:p>
      </dgm:t>
    </dgm:pt>
    <dgm:pt modelId="{E2F835F8-9A73-4F0E-B26D-145FA12174BC}">
      <dgm:prSet phldrT="[テキスト]"/>
      <dgm:spPr/>
      <dgm:t>
        <a:bodyPr anchor="t"/>
        <a:lstStyle/>
        <a:p>
          <a:r>
            <a:rPr kumimoji="1" lang="ja-JP" altLang="en-US"/>
            <a:t>資金の手当て</a:t>
          </a:r>
        </a:p>
      </dgm:t>
    </dgm:pt>
    <dgm:pt modelId="{034D1E94-43C3-4275-A28D-CAAF6986673D}" type="parTrans" cxnId="{09FC71AD-8278-40E8-986F-83319693C58B}">
      <dgm:prSet/>
      <dgm:spPr/>
      <dgm:t>
        <a:bodyPr/>
        <a:lstStyle/>
        <a:p>
          <a:endParaRPr kumimoji="1" lang="ja-JP" altLang="en-US"/>
        </a:p>
      </dgm:t>
    </dgm:pt>
    <dgm:pt modelId="{72D36691-7557-4C44-8813-9C2DCB4EA610}" type="sibTrans" cxnId="{09FC71AD-8278-40E8-986F-83319693C58B}">
      <dgm:prSet/>
      <dgm:spPr/>
      <dgm:t>
        <a:bodyPr/>
        <a:lstStyle/>
        <a:p>
          <a:endParaRPr kumimoji="1" lang="ja-JP" altLang="en-US"/>
        </a:p>
      </dgm:t>
    </dgm:pt>
    <dgm:pt modelId="{A5BA63A3-3008-49D6-B751-ED562713D62F}">
      <dgm:prSet phldrT="[テキスト]"/>
      <dgm:spPr/>
      <dgm:t>
        <a:bodyPr anchor="t"/>
        <a:lstStyle/>
        <a:p>
          <a:r>
            <a:rPr kumimoji="1" lang="ja-JP" altLang="en-US"/>
            <a:t>残る資金</a:t>
          </a:r>
        </a:p>
      </dgm:t>
    </dgm:pt>
    <dgm:pt modelId="{46768564-02BB-469D-BDA7-CBCF0A8232F6}" type="parTrans" cxnId="{B946F13A-642D-4E82-9E25-56F4242954D5}">
      <dgm:prSet/>
      <dgm:spPr/>
      <dgm:t>
        <a:bodyPr/>
        <a:lstStyle/>
        <a:p>
          <a:endParaRPr kumimoji="1" lang="ja-JP" altLang="en-US"/>
        </a:p>
      </dgm:t>
    </dgm:pt>
    <dgm:pt modelId="{496CBE97-AAAE-4812-B84B-78FFF593C4C0}" type="sibTrans" cxnId="{B946F13A-642D-4E82-9E25-56F4242954D5}">
      <dgm:prSet/>
      <dgm:spPr/>
      <dgm:t>
        <a:bodyPr/>
        <a:lstStyle/>
        <a:p>
          <a:endParaRPr kumimoji="1" lang="ja-JP" altLang="en-US"/>
        </a:p>
      </dgm:t>
    </dgm:pt>
    <dgm:pt modelId="{BB732654-19D6-4751-B7FA-984E305EF6E9}">
      <dgm:prSet phldrT="[テキスト]"/>
      <dgm:spPr/>
      <dgm:t>
        <a:bodyPr anchor="t"/>
        <a:lstStyle/>
        <a:p>
          <a:r>
            <a:rPr kumimoji="1" lang="ja-JP" altLang="en-US"/>
            <a:t>賃料減免交渉</a:t>
          </a:r>
        </a:p>
      </dgm:t>
    </dgm:pt>
    <dgm:pt modelId="{FB1B6BB5-19C5-46C8-9A6C-186ABDCE79F9}" type="parTrans" cxnId="{31E779AB-10ED-4B8A-B72C-58242787A9E3}">
      <dgm:prSet/>
      <dgm:spPr/>
      <dgm:t>
        <a:bodyPr/>
        <a:lstStyle/>
        <a:p>
          <a:endParaRPr kumimoji="1" lang="ja-JP" altLang="en-US"/>
        </a:p>
      </dgm:t>
    </dgm:pt>
    <dgm:pt modelId="{1021B6DD-DB0C-4BD3-9699-CC43C42498E1}" type="sibTrans" cxnId="{31E779AB-10ED-4B8A-B72C-58242787A9E3}">
      <dgm:prSet/>
      <dgm:spPr/>
      <dgm:t>
        <a:bodyPr/>
        <a:lstStyle/>
        <a:p>
          <a:endParaRPr kumimoji="1" lang="ja-JP" altLang="en-US"/>
        </a:p>
      </dgm:t>
    </dgm:pt>
    <dgm:pt modelId="{CC9A1A63-65F0-4196-ABB6-9754648FB6D1}">
      <dgm:prSet phldrT="[テキスト]"/>
      <dgm:spPr/>
      <dgm:t>
        <a:bodyPr anchor="t"/>
        <a:lstStyle/>
        <a:p>
          <a:r>
            <a:rPr kumimoji="1" lang="ja-JP" altLang="en-US"/>
            <a:t>税金などの支払い猶予</a:t>
          </a:r>
        </a:p>
      </dgm:t>
    </dgm:pt>
    <dgm:pt modelId="{F9088E22-07B5-4277-A502-3253BDC9653A}" type="parTrans" cxnId="{76A21F39-82C7-4C4E-9E20-E2073CC0F2ED}">
      <dgm:prSet/>
      <dgm:spPr/>
      <dgm:t>
        <a:bodyPr/>
        <a:lstStyle/>
        <a:p>
          <a:endParaRPr kumimoji="1" lang="ja-JP" altLang="en-US"/>
        </a:p>
      </dgm:t>
    </dgm:pt>
    <dgm:pt modelId="{34FCF5E8-9158-40F7-AFB7-C7EDA8BEC603}" type="sibTrans" cxnId="{76A21F39-82C7-4C4E-9E20-E2073CC0F2ED}">
      <dgm:prSet/>
      <dgm:spPr/>
      <dgm:t>
        <a:bodyPr/>
        <a:lstStyle/>
        <a:p>
          <a:endParaRPr kumimoji="1" lang="ja-JP" altLang="en-US"/>
        </a:p>
      </dgm:t>
    </dgm:pt>
    <dgm:pt modelId="{41A5CD9D-618C-409C-8273-B3DB91BC9D6D}">
      <dgm:prSet phldrT="[テキスト]"/>
      <dgm:spPr/>
      <dgm:t>
        <a:bodyPr anchor="t"/>
        <a:lstStyle/>
        <a:p>
          <a:r>
            <a:rPr kumimoji="1" lang="ja-JP" altLang="en-US">
              <a:solidFill>
                <a:srgbClr val="C00000"/>
              </a:solidFill>
            </a:rPr>
            <a:t>費用の抜本的な見直し</a:t>
          </a:r>
        </a:p>
      </dgm:t>
    </dgm:pt>
    <dgm:pt modelId="{37A73EA0-F3FE-4A70-B4C4-064373D2BDA2}" type="parTrans" cxnId="{C76AC9BC-358D-456F-9A47-8B194C448F9C}">
      <dgm:prSet/>
      <dgm:spPr/>
      <dgm:t>
        <a:bodyPr/>
        <a:lstStyle/>
        <a:p>
          <a:endParaRPr kumimoji="1" lang="ja-JP" altLang="en-US"/>
        </a:p>
      </dgm:t>
    </dgm:pt>
    <dgm:pt modelId="{34B54638-14AC-460F-8FDB-0AB44952D04F}" type="sibTrans" cxnId="{C76AC9BC-358D-456F-9A47-8B194C448F9C}">
      <dgm:prSet/>
      <dgm:spPr/>
      <dgm:t>
        <a:bodyPr/>
        <a:lstStyle/>
        <a:p>
          <a:endParaRPr kumimoji="1" lang="ja-JP" altLang="en-US"/>
        </a:p>
      </dgm:t>
    </dgm:pt>
    <dgm:pt modelId="{BE60BD16-8ED6-4E40-813C-4F863AB47831}">
      <dgm:prSet phldrT="[テキスト]"/>
      <dgm:spPr/>
      <dgm:t>
        <a:bodyPr anchor="t"/>
        <a:lstStyle/>
        <a:p>
          <a:r>
            <a:rPr kumimoji="1" lang="ja-JP" altLang="en-US"/>
            <a:t>各種助成金（雇用調整助成金）</a:t>
          </a:r>
        </a:p>
      </dgm:t>
    </dgm:pt>
    <dgm:pt modelId="{5BDCCC49-C4D6-43EF-A6FC-52B92AFC3591}" type="parTrans" cxnId="{3D36A860-21B4-44B3-8A0F-93B5F26F137E}">
      <dgm:prSet/>
      <dgm:spPr/>
      <dgm:t>
        <a:bodyPr/>
        <a:lstStyle/>
        <a:p>
          <a:endParaRPr kumimoji="1" lang="ja-JP" altLang="en-US"/>
        </a:p>
      </dgm:t>
    </dgm:pt>
    <dgm:pt modelId="{415BB2D7-5FB7-43A3-88D8-B81AEAAF8011}" type="sibTrans" cxnId="{3D36A860-21B4-44B3-8A0F-93B5F26F137E}">
      <dgm:prSet/>
      <dgm:spPr/>
      <dgm:t>
        <a:bodyPr/>
        <a:lstStyle/>
        <a:p>
          <a:endParaRPr kumimoji="1" lang="ja-JP" altLang="en-US"/>
        </a:p>
      </dgm:t>
    </dgm:pt>
    <dgm:pt modelId="{94C54C24-7052-45D7-B641-92767D0FE337}">
      <dgm:prSet phldrT="[テキスト]"/>
      <dgm:spPr/>
      <dgm:t>
        <a:bodyPr anchor="t"/>
        <a:lstStyle/>
        <a:p>
          <a:r>
            <a:rPr kumimoji="1" lang="ja-JP" altLang="en-US"/>
            <a:t>借入</a:t>
          </a:r>
        </a:p>
      </dgm:t>
    </dgm:pt>
    <dgm:pt modelId="{3B79F88B-1E22-435C-AC0D-0C7ED55F258E}" type="parTrans" cxnId="{597D2B62-121E-4280-9401-1AC6A5B86601}">
      <dgm:prSet/>
      <dgm:spPr/>
      <dgm:t>
        <a:bodyPr/>
        <a:lstStyle/>
        <a:p>
          <a:endParaRPr kumimoji="1" lang="ja-JP" altLang="en-US"/>
        </a:p>
      </dgm:t>
    </dgm:pt>
    <dgm:pt modelId="{E0AD7E72-0F34-4B1F-970D-1C0EF71AF2AF}" type="sibTrans" cxnId="{597D2B62-121E-4280-9401-1AC6A5B86601}">
      <dgm:prSet/>
      <dgm:spPr/>
      <dgm:t>
        <a:bodyPr/>
        <a:lstStyle/>
        <a:p>
          <a:endParaRPr kumimoji="1" lang="ja-JP" altLang="en-US"/>
        </a:p>
      </dgm:t>
    </dgm:pt>
    <dgm:pt modelId="{E1F499B2-8C7B-4262-B297-0601D925F574}" type="pres">
      <dgm:prSet presAssocID="{F4D4DA6B-442E-458F-ACDC-5217E0B82FD6}" presName="Name0" presStyleCnt="0">
        <dgm:presLayoutVars>
          <dgm:dir/>
          <dgm:resizeHandles val="exact"/>
        </dgm:presLayoutVars>
      </dgm:prSet>
      <dgm:spPr/>
    </dgm:pt>
    <dgm:pt modelId="{403CD4F6-F708-4E0F-8ED3-381BB678B461}" type="pres">
      <dgm:prSet presAssocID="{FD84313B-06F9-47D5-AFEF-71473422CF59}" presName="node" presStyleLbl="node1" presStyleIdx="0" presStyleCnt="5">
        <dgm:presLayoutVars>
          <dgm:bulletEnabled val="1"/>
        </dgm:presLayoutVars>
      </dgm:prSet>
      <dgm:spPr/>
    </dgm:pt>
    <dgm:pt modelId="{D3376DEB-EA0E-4AE7-8968-E9449E22886C}" type="pres">
      <dgm:prSet presAssocID="{A803BD7C-7A60-4A3C-AB93-ADA8D680EBEC}" presName="sibTrans" presStyleLbl="sibTrans2D1" presStyleIdx="0" presStyleCnt="4"/>
      <dgm:spPr>
        <a:prstGeom prst="mathPlus">
          <a:avLst/>
        </a:prstGeom>
      </dgm:spPr>
    </dgm:pt>
    <dgm:pt modelId="{EE2FB79A-506D-465B-8298-EAAE36D493B8}" type="pres">
      <dgm:prSet presAssocID="{A803BD7C-7A60-4A3C-AB93-ADA8D680EBEC}" presName="connectorText" presStyleLbl="sibTrans2D1" presStyleIdx="0" presStyleCnt="4"/>
      <dgm:spPr/>
    </dgm:pt>
    <dgm:pt modelId="{D34D4F02-662A-4D00-8689-997BFF8510ED}" type="pres">
      <dgm:prSet presAssocID="{5B53FE9A-72FA-442A-98FA-D7C2895F7762}" presName="node" presStyleLbl="node1" presStyleIdx="1" presStyleCnt="5">
        <dgm:presLayoutVars>
          <dgm:bulletEnabled val="1"/>
        </dgm:presLayoutVars>
      </dgm:prSet>
      <dgm:spPr/>
    </dgm:pt>
    <dgm:pt modelId="{9088E786-9C28-42B1-A179-4D188332137A}" type="pres">
      <dgm:prSet presAssocID="{D9612BBA-8FF2-4631-B143-A99C17E4DD5E}" presName="sibTrans" presStyleLbl="sibTrans2D1" presStyleIdx="1" presStyleCnt="4"/>
      <dgm:spPr>
        <a:prstGeom prst="mathMinus">
          <a:avLst/>
        </a:prstGeom>
      </dgm:spPr>
    </dgm:pt>
    <dgm:pt modelId="{5B265F7F-A789-4087-B573-5E98E9DAE959}" type="pres">
      <dgm:prSet presAssocID="{D9612BBA-8FF2-4631-B143-A99C17E4DD5E}" presName="connectorText" presStyleLbl="sibTrans2D1" presStyleIdx="1" presStyleCnt="4"/>
      <dgm:spPr/>
    </dgm:pt>
    <dgm:pt modelId="{228CA404-5B9C-4B91-A310-4C8840F3C9C6}" type="pres">
      <dgm:prSet presAssocID="{6F80AFAC-5CBF-48EC-809F-6BF13FA3AB90}" presName="node" presStyleLbl="node1" presStyleIdx="2" presStyleCnt="5">
        <dgm:presLayoutVars>
          <dgm:bulletEnabled val="1"/>
        </dgm:presLayoutVars>
      </dgm:prSet>
      <dgm:spPr/>
    </dgm:pt>
    <dgm:pt modelId="{BA029C4E-8566-40AC-9D78-8E8D1578B364}" type="pres">
      <dgm:prSet presAssocID="{D3F9568A-A4CA-454F-B92C-EE4E68AC6169}" presName="sibTrans" presStyleLbl="sibTrans2D1" presStyleIdx="2" presStyleCnt="4"/>
      <dgm:spPr>
        <a:prstGeom prst="mathPlus">
          <a:avLst/>
        </a:prstGeom>
      </dgm:spPr>
    </dgm:pt>
    <dgm:pt modelId="{E1B87588-963D-4E01-AAA8-130CEAEFDDC8}" type="pres">
      <dgm:prSet presAssocID="{D3F9568A-A4CA-454F-B92C-EE4E68AC6169}" presName="connectorText" presStyleLbl="sibTrans2D1" presStyleIdx="2" presStyleCnt="4"/>
      <dgm:spPr/>
    </dgm:pt>
    <dgm:pt modelId="{EBB2626C-7932-43F7-8E4A-428EA45E6F52}" type="pres">
      <dgm:prSet presAssocID="{E2F835F8-9A73-4F0E-B26D-145FA12174BC}" presName="node" presStyleLbl="node1" presStyleIdx="3" presStyleCnt="5">
        <dgm:presLayoutVars>
          <dgm:bulletEnabled val="1"/>
        </dgm:presLayoutVars>
      </dgm:prSet>
      <dgm:spPr/>
    </dgm:pt>
    <dgm:pt modelId="{80C1665C-BC2C-4958-A5E7-73EA089CB002}" type="pres">
      <dgm:prSet presAssocID="{72D36691-7557-4C44-8813-9C2DCB4EA610}" presName="sibTrans" presStyleLbl="sibTrans2D1" presStyleIdx="3" presStyleCnt="4"/>
      <dgm:spPr>
        <a:prstGeom prst="mathEqual">
          <a:avLst/>
        </a:prstGeom>
      </dgm:spPr>
    </dgm:pt>
    <dgm:pt modelId="{B9B6827A-39A4-488A-A751-723E0ACF8F95}" type="pres">
      <dgm:prSet presAssocID="{72D36691-7557-4C44-8813-9C2DCB4EA610}" presName="connectorText" presStyleLbl="sibTrans2D1" presStyleIdx="3" presStyleCnt="4"/>
      <dgm:spPr/>
    </dgm:pt>
    <dgm:pt modelId="{F1D349A6-D8F8-4119-8E2F-DFF2779B7F7D}" type="pres">
      <dgm:prSet presAssocID="{A5BA63A3-3008-49D6-B751-ED562713D62F}" presName="node" presStyleLbl="node1" presStyleIdx="4" presStyleCnt="5">
        <dgm:presLayoutVars>
          <dgm:bulletEnabled val="1"/>
        </dgm:presLayoutVars>
      </dgm:prSet>
      <dgm:spPr/>
    </dgm:pt>
  </dgm:ptLst>
  <dgm:cxnLst>
    <dgm:cxn modelId="{06343905-88AC-417D-A260-C57E0FD2FF8C}" type="presOf" srcId="{A803BD7C-7A60-4A3C-AB93-ADA8D680EBEC}" destId="{D3376DEB-EA0E-4AE7-8968-E9449E22886C}" srcOrd="0" destOrd="0" presId="urn:microsoft.com/office/officeart/2005/8/layout/process1"/>
    <dgm:cxn modelId="{63A9A00A-982C-4FAB-8211-FCB7F96005C7}" type="presOf" srcId="{F4D4DA6B-442E-458F-ACDC-5217E0B82FD6}" destId="{E1F499B2-8C7B-4262-B297-0601D925F574}" srcOrd="0" destOrd="0" presId="urn:microsoft.com/office/officeart/2005/8/layout/process1"/>
    <dgm:cxn modelId="{3173AA0C-DA30-4E9F-B9C3-C9034915D514}" srcId="{F4D4DA6B-442E-458F-ACDC-5217E0B82FD6}" destId="{6F80AFAC-5CBF-48EC-809F-6BF13FA3AB90}" srcOrd="2" destOrd="0" parTransId="{A30E2DE0-E724-4C94-A4C9-435430C3C725}" sibTransId="{D3F9568A-A4CA-454F-B92C-EE4E68AC6169}"/>
    <dgm:cxn modelId="{A796F61F-B051-4535-99C1-2E09C79594B6}" srcId="{F4D4DA6B-442E-458F-ACDC-5217E0B82FD6}" destId="{5B53FE9A-72FA-442A-98FA-D7C2895F7762}" srcOrd="1" destOrd="0" parTransId="{6E2B47DF-0809-4C16-9A9A-DE308F771D38}" sibTransId="{D9612BBA-8FF2-4631-B143-A99C17E4DD5E}"/>
    <dgm:cxn modelId="{BB43B322-8C3D-4D2B-A0B6-1A7A4AD573E0}" type="presOf" srcId="{72D36691-7557-4C44-8813-9C2DCB4EA610}" destId="{B9B6827A-39A4-488A-A751-723E0ACF8F95}" srcOrd="1" destOrd="0" presId="urn:microsoft.com/office/officeart/2005/8/layout/process1"/>
    <dgm:cxn modelId="{60F10223-6D9A-4751-B672-FAA5E4181101}" type="presOf" srcId="{D3F9568A-A4CA-454F-B92C-EE4E68AC6169}" destId="{BA029C4E-8566-40AC-9D78-8E8D1578B364}" srcOrd="0" destOrd="0" presId="urn:microsoft.com/office/officeart/2005/8/layout/process1"/>
    <dgm:cxn modelId="{93ED0533-F78E-4B86-8EE1-C376A10D83C3}" type="presOf" srcId="{41A5CD9D-618C-409C-8273-B3DB91BC9D6D}" destId="{228CA404-5B9C-4B91-A310-4C8840F3C9C6}" srcOrd="0" destOrd="3" presId="urn:microsoft.com/office/officeart/2005/8/layout/process1"/>
    <dgm:cxn modelId="{76A21F39-82C7-4C4E-9E20-E2073CC0F2ED}" srcId="{6F80AFAC-5CBF-48EC-809F-6BF13FA3AB90}" destId="{CC9A1A63-65F0-4196-ABB6-9754648FB6D1}" srcOrd="1" destOrd="0" parTransId="{F9088E22-07B5-4277-A502-3253BDC9653A}" sibTransId="{34FCF5E8-9158-40F7-AFB7-C7EDA8BEC603}"/>
    <dgm:cxn modelId="{4D48943A-970B-4609-AD6C-C231C9EA2513}" type="presOf" srcId="{72D36691-7557-4C44-8813-9C2DCB4EA610}" destId="{80C1665C-BC2C-4958-A5E7-73EA089CB002}" srcOrd="0" destOrd="0" presId="urn:microsoft.com/office/officeart/2005/8/layout/process1"/>
    <dgm:cxn modelId="{B946F13A-642D-4E82-9E25-56F4242954D5}" srcId="{F4D4DA6B-442E-458F-ACDC-5217E0B82FD6}" destId="{A5BA63A3-3008-49D6-B751-ED562713D62F}" srcOrd="4" destOrd="0" parTransId="{46768564-02BB-469D-BDA7-CBCF0A8232F6}" sibTransId="{496CBE97-AAAE-4812-B84B-78FFF593C4C0}"/>
    <dgm:cxn modelId="{F989F75F-8A7F-44F9-96D2-064A6FABBD34}" srcId="{F4D4DA6B-442E-458F-ACDC-5217E0B82FD6}" destId="{FD84313B-06F9-47D5-AFEF-71473422CF59}" srcOrd="0" destOrd="0" parTransId="{B46C6BE6-8816-4973-ADFB-29E76C883FC6}" sibTransId="{A803BD7C-7A60-4A3C-AB93-ADA8D680EBEC}"/>
    <dgm:cxn modelId="{3D36A860-21B4-44B3-8A0F-93B5F26F137E}" srcId="{E2F835F8-9A73-4F0E-B26D-145FA12174BC}" destId="{BE60BD16-8ED6-4E40-813C-4F863AB47831}" srcOrd="0" destOrd="0" parTransId="{5BDCCC49-C4D6-43EF-A6FC-52B92AFC3591}" sibTransId="{415BB2D7-5FB7-43A3-88D8-B81AEAAF8011}"/>
    <dgm:cxn modelId="{597D2B62-121E-4280-9401-1AC6A5B86601}" srcId="{E2F835F8-9A73-4F0E-B26D-145FA12174BC}" destId="{94C54C24-7052-45D7-B641-92767D0FE337}" srcOrd="1" destOrd="0" parTransId="{3B79F88B-1E22-435C-AC0D-0C7ED55F258E}" sibTransId="{E0AD7E72-0F34-4B1F-970D-1C0EF71AF2AF}"/>
    <dgm:cxn modelId="{FFC40165-CFC7-45A2-ACD2-AE26B598763C}" type="presOf" srcId="{BB732654-19D6-4751-B7FA-984E305EF6E9}" destId="{228CA404-5B9C-4B91-A310-4C8840F3C9C6}" srcOrd="0" destOrd="1" presId="urn:microsoft.com/office/officeart/2005/8/layout/process1"/>
    <dgm:cxn modelId="{D3D90348-64C6-4FCE-86AA-5CA29917564E}" type="presOf" srcId="{E2F835F8-9A73-4F0E-B26D-145FA12174BC}" destId="{EBB2626C-7932-43F7-8E4A-428EA45E6F52}" srcOrd="0" destOrd="0" presId="urn:microsoft.com/office/officeart/2005/8/layout/process1"/>
    <dgm:cxn modelId="{41DE067F-1157-46B2-AD14-C385F59D922C}" type="presOf" srcId="{A5BA63A3-3008-49D6-B751-ED562713D62F}" destId="{F1D349A6-D8F8-4119-8E2F-DFF2779B7F7D}" srcOrd="0" destOrd="0" presId="urn:microsoft.com/office/officeart/2005/8/layout/process1"/>
    <dgm:cxn modelId="{38F3F485-4FD3-456C-AD3C-A881BAABE228}" type="presOf" srcId="{6F80AFAC-5CBF-48EC-809F-6BF13FA3AB90}" destId="{228CA404-5B9C-4B91-A310-4C8840F3C9C6}" srcOrd="0" destOrd="0" presId="urn:microsoft.com/office/officeart/2005/8/layout/process1"/>
    <dgm:cxn modelId="{59114A8A-2C7C-431F-B480-90CAC5906797}" type="presOf" srcId="{5B53FE9A-72FA-442A-98FA-D7C2895F7762}" destId="{D34D4F02-662A-4D00-8689-997BFF8510ED}" srcOrd="0" destOrd="0" presId="urn:microsoft.com/office/officeart/2005/8/layout/process1"/>
    <dgm:cxn modelId="{6CD6048B-4D08-441B-93F8-CEF7ABA9FBEB}" type="presOf" srcId="{FD84313B-06F9-47D5-AFEF-71473422CF59}" destId="{403CD4F6-F708-4E0F-8ED3-381BB678B461}" srcOrd="0" destOrd="0" presId="urn:microsoft.com/office/officeart/2005/8/layout/process1"/>
    <dgm:cxn modelId="{6B983594-B9F9-4EE1-8CCF-A8FBCE2E4954}" type="presOf" srcId="{D9612BBA-8FF2-4631-B143-A99C17E4DD5E}" destId="{9088E786-9C28-42B1-A179-4D188332137A}" srcOrd="0" destOrd="0" presId="urn:microsoft.com/office/officeart/2005/8/layout/process1"/>
    <dgm:cxn modelId="{31E779AB-10ED-4B8A-B72C-58242787A9E3}" srcId="{6F80AFAC-5CBF-48EC-809F-6BF13FA3AB90}" destId="{BB732654-19D6-4751-B7FA-984E305EF6E9}" srcOrd="0" destOrd="0" parTransId="{FB1B6BB5-19C5-46C8-9A6C-186ABDCE79F9}" sibTransId="{1021B6DD-DB0C-4BD3-9699-CC43C42498E1}"/>
    <dgm:cxn modelId="{09FC71AD-8278-40E8-986F-83319693C58B}" srcId="{F4D4DA6B-442E-458F-ACDC-5217E0B82FD6}" destId="{E2F835F8-9A73-4F0E-B26D-145FA12174BC}" srcOrd="3" destOrd="0" parTransId="{034D1E94-43C3-4275-A28D-CAAF6986673D}" sibTransId="{72D36691-7557-4C44-8813-9C2DCB4EA610}"/>
    <dgm:cxn modelId="{50FBD6B4-04B8-4AD1-B071-47CB2010EB04}" type="presOf" srcId="{A803BD7C-7A60-4A3C-AB93-ADA8D680EBEC}" destId="{EE2FB79A-506D-465B-8298-EAAE36D493B8}" srcOrd="1" destOrd="0" presId="urn:microsoft.com/office/officeart/2005/8/layout/process1"/>
    <dgm:cxn modelId="{099F0CB9-17BA-43E4-8501-950C37D73D3E}" type="presOf" srcId="{D9612BBA-8FF2-4631-B143-A99C17E4DD5E}" destId="{5B265F7F-A789-4087-B573-5E98E9DAE959}" srcOrd="1" destOrd="0" presId="urn:microsoft.com/office/officeart/2005/8/layout/process1"/>
    <dgm:cxn modelId="{C76AC9BC-358D-456F-9A47-8B194C448F9C}" srcId="{6F80AFAC-5CBF-48EC-809F-6BF13FA3AB90}" destId="{41A5CD9D-618C-409C-8273-B3DB91BC9D6D}" srcOrd="2" destOrd="0" parTransId="{37A73EA0-F3FE-4A70-B4C4-064373D2BDA2}" sibTransId="{34B54638-14AC-460F-8FDB-0AB44952D04F}"/>
    <dgm:cxn modelId="{4C36C6BF-11DC-404D-813C-3E28CDEE8F67}" type="presOf" srcId="{D3F9568A-A4CA-454F-B92C-EE4E68AC6169}" destId="{E1B87588-963D-4E01-AAA8-130CEAEFDDC8}" srcOrd="1" destOrd="0" presId="urn:microsoft.com/office/officeart/2005/8/layout/process1"/>
    <dgm:cxn modelId="{FDC9C2C1-E118-440E-AD79-B5A30C8CCE08}" type="presOf" srcId="{CC9A1A63-65F0-4196-ABB6-9754648FB6D1}" destId="{228CA404-5B9C-4B91-A310-4C8840F3C9C6}" srcOrd="0" destOrd="2" presId="urn:microsoft.com/office/officeart/2005/8/layout/process1"/>
    <dgm:cxn modelId="{22CA57CB-E7F5-49E6-87CC-99FAF7F8DF4B}" type="presOf" srcId="{BE60BD16-8ED6-4E40-813C-4F863AB47831}" destId="{EBB2626C-7932-43F7-8E4A-428EA45E6F52}" srcOrd="0" destOrd="1" presId="urn:microsoft.com/office/officeart/2005/8/layout/process1"/>
    <dgm:cxn modelId="{BCA9F1DB-5651-4A1F-A613-853214F31769}" type="presOf" srcId="{94C54C24-7052-45D7-B641-92767D0FE337}" destId="{EBB2626C-7932-43F7-8E4A-428EA45E6F52}" srcOrd="0" destOrd="2" presId="urn:microsoft.com/office/officeart/2005/8/layout/process1"/>
    <dgm:cxn modelId="{42645149-D918-4378-A1A5-48244996B119}" type="presParOf" srcId="{E1F499B2-8C7B-4262-B297-0601D925F574}" destId="{403CD4F6-F708-4E0F-8ED3-381BB678B461}" srcOrd="0" destOrd="0" presId="urn:microsoft.com/office/officeart/2005/8/layout/process1"/>
    <dgm:cxn modelId="{94BCE7F6-09C2-4552-AE02-A0B356E3BDF1}" type="presParOf" srcId="{E1F499B2-8C7B-4262-B297-0601D925F574}" destId="{D3376DEB-EA0E-4AE7-8968-E9449E22886C}" srcOrd="1" destOrd="0" presId="urn:microsoft.com/office/officeart/2005/8/layout/process1"/>
    <dgm:cxn modelId="{9B0E909D-291D-4D9A-98CD-7856456244C7}" type="presParOf" srcId="{D3376DEB-EA0E-4AE7-8968-E9449E22886C}" destId="{EE2FB79A-506D-465B-8298-EAAE36D493B8}" srcOrd="0" destOrd="0" presId="urn:microsoft.com/office/officeart/2005/8/layout/process1"/>
    <dgm:cxn modelId="{636F3F05-D945-4836-B66A-FDA2DE1BD9D3}" type="presParOf" srcId="{E1F499B2-8C7B-4262-B297-0601D925F574}" destId="{D34D4F02-662A-4D00-8689-997BFF8510ED}" srcOrd="2" destOrd="0" presId="urn:microsoft.com/office/officeart/2005/8/layout/process1"/>
    <dgm:cxn modelId="{511E5CA0-9547-4F13-BF5B-90EA7E5CD4D1}" type="presParOf" srcId="{E1F499B2-8C7B-4262-B297-0601D925F574}" destId="{9088E786-9C28-42B1-A179-4D188332137A}" srcOrd="3" destOrd="0" presId="urn:microsoft.com/office/officeart/2005/8/layout/process1"/>
    <dgm:cxn modelId="{79F43EAD-134F-4B45-8861-7CEFD0F6597F}" type="presParOf" srcId="{9088E786-9C28-42B1-A179-4D188332137A}" destId="{5B265F7F-A789-4087-B573-5E98E9DAE959}" srcOrd="0" destOrd="0" presId="urn:microsoft.com/office/officeart/2005/8/layout/process1"/>
    <dgm:cxn modelId="{71BD7A8C-EB41-48E4-90EC-FA1CCB6491D4}" type="presParOf" srcId="{E1F499B2-8C7B-4262-B297-0601D925F574}" destId="{228CA404-5B9C-4B91-A310-4C8840F3C9C6}" srcOrd="4" destOrd="0" presId="urn:microsoft.com/office/officeart/2005/8/layout/process1"/>
    <dgm:cxn modelId="{201E025A-08E7-4090-9A16-50502EE4069F}" type="presParOf" srcId="{E1F499B2-8C7B-4262-B297-0601D925F574}" destId="{BA029C4E-8566-40AC-9D78-8E8D1578B364}" srcOrd="5" destOrd="0" presId="urn:microsoft.com/office/officeart/2005/8/layout/process1"/>
    <dgm:cxn modelId="{EB3E44FF-396F-431D-B727-2BB19ADBBA5F}" type="presParOf" srcId="{BA029C4E-8566-40AC-9D78-8E8D1578B364}" destId="{E1B87588-963D-4E01-AAA8-130CEAEFDDC8}" srcOrd="0" destOrd="0" presId="urn:microsoft.com/office/officeart/2005/8/layout/process1"/>
    <dgm:cxn modelId="{34C3F32B-2E5E-46F8-B725-376A467755B5}" type="presParOf" srcId="{E1F499B2-8C7B-4262-B297-0601D925F574}" destId="{EBB2626C-7932-43F7-8E4A-428EA45E6F52}" srcOrd="6" destOrd="0" presId="urn:microsoft.com/office/officeart/2005/8/layout/process1"/>
    <dgm:cxn modelId="{EBBF9057-2015-432F-B0E9-676AED43525A}" type="presParOf" srcId="{E1F499B2-8C7B-4262-B297-0601D925F574}" destId="{80C1665C-BC2C-4958-A5E7-73EA089CB002}" srcOrd="7" destOrd="0" presId="urn:microsoft.com/office/officeart/2005/8/layout/process1"/>
    <dgm:cxn modelId="{0F0D0AA0-6F5D-48F7-9079-09570472655F}" type="presParOf" srcId="{80C1665C-BC2C-4958-A5E7-73EA089CB002}" destId="{B9B6827A-39A4-488A-A751-723E0ACF8F95}" srcOrd="0" destOrd="0" presId="urn:microsoft.com/office/officeart/2005/8/layout/process1"/>
    <dgm:cxn modelId="{1A96BC92-2872-48F6-8EDB-24C3A21E9C55}" type="presParOf" srcId="{E1F499B2-8C7B-4262-B297-0601D925F574}" destId="{F1D349A6-D8F8-4119-8E2F-DFF2779B7F7D}" srcOrd="8" destOrd="0" presId="urn:microsoft.com/office/officeart/2005/8/layout/process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403CD4F6-F708-4E0F-8ED3-381BB678B461}">
      <dsp:nvSpPr>
        <dsp:cNvPr id="0" name=""/>
        <dsp:cNvSpPr/>
      </dsp:nvSpPr>
      <dsp:spPr>
        <a:xfrm>
          <a:off x="5371" y="7969"/>
          <a:ext cx="1665247" cy="2451035"/>
        </a:xfrm>
        <a:prstGeom prst="roundRect">
          <a:avLst>
            <a:gd name="adj" fmla="val 10000"/>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t" anchorCtr="0">
          <a:noAutofit/>
        </a:bodyPr>
        <a:lstStyle/>
        <a:p>
          <a:pPr marL="0" lvl="0" indent="0" algn="ctr" defTabSz="666750">
            <a:lnSpc>
              <a:spcPct val="90000"/>
            </a:lnSpc>
            <a:spcBef>
              <a:spcPct val="0"/>
            </a:spcBef>
            <a:spcAft>
              <a:spcPct val="35000"/>
            </a:spcAft>
            <a:buNone/>
          </a:pPr>
          <a:r>
            <a:rPr kumimoji="1" lang="ja-JP" altLang="en-US" sz="1500" kern="1200"/>
            <a:t>現在の</a:t>
          </a:r>
          <a:br>
            <a:rPr kumimoji="1" lang="en-US" altLang="ja-JP" sz="1500" kern="1200"/>
          </a:br>
          <a:r>
            <a:rPr kumimoji="1" lang="ja-JP" altLang="en-US" sz="1500" kern="1200"/>
            <a:t>手元資金</a:t>
          </a:r>
        </a:p>
      </dsp:txBody>
      <dsp:txXfrm>
        <a:off x="54144" y="56742"/>
        <a:ext cx="1567701" cy="2353489"/>
      </dsp:txXfrm>
    </dsp:sp>
    <dsp:sp modelId="{D3376DEB-EA0E-4AE7-8968-E9449E22886C}">
      <dsp:nvSpPr>
        <dsp:cNvPr id="0" name=""/>
        <dsp:cNvSpPr/>
      </dsp:nvSpPr>
      <dsp:spPr>
        <a:xfrm>
          <a:off x="1837143" y="1026996"/>
          <a:ext cx="353032" cy="412981"/>
        </a:xfrm>
        <a:prstGeom prst="mathPlus">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533400">
            <a:lnSpc>
              <a:spcPct val="90000"/>
            </a:lnSpc>
            <a:spcBef>
              <a:spcPct val="0"/>
            </a:spcBef>
            <a:spcAft>
              <a:spcPct val="35000"/>
            </a:spcAft>
            <a:buNone/>
          </a:pPr>
          <a:endParaRPr kumimoji="1" lang="ja-JP" altLang="en-US" sz="1200" kern="1200"/>
        </a:p>
      </dsp:txBody>
      <dsp:txXfrm>
        <a:off x="1837143" y="1109592"/>
        <a:ext cx="247122" cy="247789"/>
      </dsp:txXfrm>
    </dsp:sp>
    <dsp:sp modelId="{D34D4F02-662A-4D00-8689-997BFF8510ED}">
      <dsp:nvSpPr>
        <dsp:cNvPr id="0" name=""/>
        <dsp:cNvSpPr/>
      </dsp:nvSpPr>
      <dsp:spPr>
        <a:xfrm>
          <a:off x="2336717" y="7969"/>
          <a:ext cx="1665247" cy="2451035"/>
        </a:xfrm>
        <a:prstGeom prst="roundRect">
          <a:avLst>
            <a:gd name="adj" fmla="val 10000"/>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t" anchorCtr="0">
          <a:noAutofit/>
        </a:bodyPr>
        <a:lstStyle/>
        <a:p>
          <a:pPr marL="0" lvl="0" indent="0" algn="ctr" defTabSz="666750">
            <a:lnSpc>
              <a:spcPct val="90000"/>
            </a:lnSpc>
            <a:spcBef>
              <a:spcPct val="0"/>
            </a:spcBef>
            <a:spcAft>
              <a:spcPct val="35000"/>
            </a:spcAft>
            <a:buNone/>
          </a:pPr>
          <a:r>
            <a:rPr kumimoji="1" lang="ja-JP" altLang="en-US" sz="1500" kern="1200">
              <a:solidFill>
                <a:srgbClr val="C00000"/>
              </a:solidFill>
            </a:rPr>
            <a:t>売上による</a:t>
          </a:r>
          <a:br>
            <a:rPr kumimoji="1" lang="en-US" altLang="ja-JP" sz="1500" kern="1200">
              <a:solidFill>
                <a:srgbClr val="C00000"/>
              </a:solidFill>
            </a:rPr>
          </a:br>
          <a:r>
            <a:rPr kumimoji="1" lang="ja-JP" altLang="en-US" sz="1500" kern="1200">
              <a:solidFill>
                <a:srgbClr val="C00000"/>
              </a:solidFill>
            </a:rPr>
            <a:t>収入</a:t>
          </a:r>
        </a:p>
      </dsp:txBody>
      <dsp:txXfrm>
        <a:off x="2385490" y="56742"/>
        <a:ext cx="1567701" cy="2353489"/>
      </dsp:txXfrm>
    </dsp:sp>
    <dsp:sp modelId="{9088E786-9C28-42B1-A179-4D188332137A}">
      <dsp:nvSpPr>
        <dsp:cNvPr id="0" name=""/>
        <dsp:cNvSpPr/>
      </dsp:nvSpPr>
      <dsp:spPr>
        <a:xfrm>
          <a:off x="4168489" y="1026996"/>
          <a:ext cx="353032" cy="412981"/>
        </a:xfrm>
        <a:prstGeom prst="mathMinus">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533400">
            <a:lnSpc>
              <a:spcPct val="90000"/>
            </a:lnSpc>
            <a:spcBef>
              <a:spcPct val="0"/>
            </a:spcBef>
            <a:spcAft>
              <a:spcPct val="35000"/>
            </a:spcAft>
            <a:buNone/>
          </a:pPr>
          <a:endParaRPr kumimoji="1" lang="ja-JP" altLang="en-US" sz="1200" kern="1200"/>
        </a:p>
      </dsp:txBody>
      <dsp:txXfrm>
        <a:off x="4168489" y="1109592"/>
        <a:ext cx="247122" cy="247789"/>
      </dsp:txXfrm>
    </dsp:sp>
    <dsp:sp modelId="{228CA404-5B9C-4B91-A310-4C8840F3C9C6}">
      <dsp:nvSpPr>
        <dsp:cNvPr id="0" name=""/>
        <dsp:cNvSpPr/>
      </dsp:nvSpPr>
      <dsp:spPr>
        <a:xfrm>
          <a:off x="4668063" y="7969"/>
          <a:ext cx="1665247" cy="2451035"/>
        </a:xfrm>
        <a:prstGeom prst="roundRect">
          <a:avLst>
            <a:gd name="adj" fmla="val 10000"/>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t" anchorCtr="0">
          <a:noAutofit/>
        </a:bodyPr>
        <a:lstStyle/>
        <a:p>
          <a:pPr marL="0" lvl="0" indent="0" algn="l" defTabSz="666750">
            <a:lnSpc>
              <a:spcPct val="90000"/>
            </a:lnSpc>
            <a:spcBef>
              <a:spcPct val="0"/>
            </a:spcBef>
            <a:spcAft>
              <a:spcPct val="35000"/>
            </a:spcAft>
            <a:buNone/>
          </a:pPr>
          <a:r>
            <a:rPr kumimoji="1" lang="ja-JP" altLang="en-US" sz="1500" kern="1200"/>
            <a:t>支払いによる支出</a:t>
          </a:r>
        </a:p>
        <a:p>
          <a:pPr marL="114300" lvl="1" indent="-114300" algn="l" defTabSz="533400">
            <a:lnSpc>
              <a:spcPct val="90000"/>
            </a:lnSpc>
            <a:spcBef>
              <a:spcPct val="0"/>
            </a:spcBef>
            <a:spcAft>
              <a:spcPct val="15000"/>
            </a:spcAft>
            <a:buChar char="•"/>
          </a:pPr>
          <a:r>
            <a:rPr kumimoji="1" lang="ja-JP" altLang="en-US" sz="1200" kern="1200"/>
            <a:t>賃料減免交渉</a:t>
          </a:r>
        </a:p>
        <a:p>
          <a:pPr marL="114300" lvl="1" indent="-114300" algn="l" defTabSz="533400">
            <a:lnSpc>
              <a:spcPct val="90000"/>
            </a:lnSpc>
            <a:spcBef>
              <a:spcPct val="0"/>
            </a:spcBef>
            <a:spcAft>
              <a:spcPct val="15000"/>
            </a:spcAft>
            <a:buChar char="•"/>
          </a:pPr>
          <a:r>
            <a:rPr kumimoji="1" lang="ja-JP" altLang="en-US" sz="1200" kern="1200"/>
            <a:t>税金などの支払い猶予</a:t>
          </a:r>
        </a:p>
        <a:p>
          <a:pPr marL="114300" lvl="1" indent="-114300" algn="l" defTabSz="533400">
            <a:lnSpc>
              <a:spcPct val="90000"/>
            </a:lnSpc>
            <a:spcBef>
              <a:spcPct val="0"/>
            </a:spcBef>
            <a:spcAft>
              <a:spcPct val="15000"/>
            </a:spcAft>
            <a:buChar char="•"/>
          </a:pPr>
          <a:r>
            <a:rPr kumimoji="1" lang="ja-JP" altLang="en-US" sz="1200" kern="1200">
              <a:solidFill>
                <a:srgbClr val="C00000"/>
              </a:solidFill>
            </a:rPr>
            <a:t>費用の抜本的な見直し</a:t>
          </a:r>
        </a:p>
      </dsp:txBody>
      <dsp:txXfrm>
        <a:off x="4716836" y="56742"/>
        <a:ext cx="1567701" cy="2353489"/>
      </dsp:txXfrm>
    </dsp:sp>
    <dsp:sp modelId="{BA029C4E-8566-40AC-9D78-8E8D1578B364}">
      <dsp:nvSpPr>
        <dsp:cNvPr id="0" name=""/>
        <dsp:cNvSpPr/>
      </dsp:nvSpPr>
      <dsp:spPr>
        <a:xfrm>
          <a:off x="6499835" y="1026996"/>
          <a:ext cx="353032" cy="412981"/>
        </a:xfrm>
        <a:prstGeom prst="mathPlus">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533400">
            <a:lnSpc>
              <a:spcPct val="90000"/>
            </a:lnSpc>
            <a:spcBef>
              <a:spcPct val="0"/>
            </a:spcBef>
            <a:spcAft>
              <a:spcPct val="35000"/>
            </a:spcAft>
            <a:buNone/>
          </a:pPr>
          <a:endParaRPr kumimoji="1" lang="ja-JP" altLang="en-US" sz="1200" kern="1200"/>
        </a:p>
      </dsp:txBody>
      <dsp:txXfrm>
        <a:off x="6499835" y="1109592"/>
        <a:ext cx="247122" cy="247789"/>
      </dsp:txXfrm>
    </dsp:sp>
    <dsp:sp modelId="{EBB2626C-7932-43F7-8E4A-428EA45E6F52}">
      <dsp:nvSpPr>
        <dsp:cNvPr id="0" name=""/>
        <dsp:cNvSpPr/>
      </dsp:nvSpPr>
      <dsp:spPr>
        <a:xfrm>
          <a:off x="6999409" y="7969"/>
          <a:ext cx="1665247" cy="2451035"/>
        </a:xfrm>
        <a:prstGeom prst="roundRect">
          <a:avLst>
            <a:gd name="adj" fmla="val 10000"/>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t" anchorCtr="0">
          <a:noAutofit/>
        </a:bodyPr>
        <a:lstStyle/>
        <a:p>
          <a:pPr marL="0" lvl="0" indent="0" algn="l" defTabSz="666750">
            <a:lnSpc>
              <a:spcPct val="90000"/>
            </a:lnSpc>
            <a:spcBef>
              <a:spcPct val="0"/>
            </a:spcBef>
            <a:spcAft>
              <a:spcPct val="35000"/>
            </a:spcAft>
            <a:buNone/>
          </a:pPr>
          <a:r>
            <a:rPr kumimoji="1" lang="ja-JP" altLang="en-US" sz="1500" kern="1200"/>
            <a:t>資金の手当て</a:t>
          </a:r>
        </a:p>
        <a:p>
          <a:pPr marL="114300" lvl="1" indent="-114300" algn="l" defTabSz="533400">
            <a:lnSpc>
              <a:spcPct val="90000"/>
            </a:lnSpc>
            <a:spcBef>
              <a:spcPct val="0"/>
            </a:spcBef>
            <a:spcAft>
              <a:spcPct val="15000"/>
            </a:spcAft>
            <a:buChar char="•"/>
          </a:pPr>
          <a:r>
            <a:rPr kumimoji="1" lang="ja-JP" altLang="en-US" sz="1200" kern="1200"/>
            <a:t>各種助成金（雇用調整助成金）</a:t>
          </a:r>
        </a:p>
        <a:p>
          <a:pPr marL="114300" lvl="1" indent="-114300" algn="l" defTabSz="533400">
            <a:lnSpc>
              <a:spcPct val="90000"/>
            </a:lnSpc>
            <a:spcBef>
              <a:spcPct val="0"/>
            </a:spcBef>
            <a:spcAft>
              <a:spcPct val="15000"/>
            </a:spcAft>
            <a:buChar char="•"/>
          </a:pPr>
          <a:r>
            <a:rPr kumimoji="1" lang="ja-JP" altLang="en-US" sz="1200" kern="1200"/>
            <a:t>借入</a:t>
          </a:r>
        </a:p>
      </dsp:txBody>
      <dsp:txXfrm>
        <a:off x="7048182" y="56742"/>
        <a:ext cx="1567701" cy="2353489"/>
      </dsp:txXfrm>
    </dsp:sp>
    <dsp:sp modelId="{80C1665C-BC2C-4958-A5E7-73EA089CB002}">
      <dsp:nvSpPr>
        <dsp:cNvPr id="0" name=""/>
        <dsp:cNvSpPr/>
      </dsp:nvSpPr>
      <dsp:spPr>
        <a:xfrm>
          <a:off x="8831181" y="1026996"/>
          <a:ext cx="353032" cy="412981"/>
        </a:xfrm>
        <a:prstGeom prst="mathEqual">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533400">
            <a:lnSpc>
              <a:spcPct val="90000"/>
            </a:lnSpc>
            <a:spcBef>
              <a:spcPct val="0"/>
            </a:spcBef>
            <a:spcAft>
              <a:spcPct val="35000"/>
            </a:spcAft>
            <a:buNone/>
          </a:pPr>
          <a:endParaRPr kumimoji="1" lang="ja-JP" altLang="en-US" sz="1200" kern="1200"/>
        </a:p>
      </dsp:txBody>
      <dsp:txXfrm>
        <a:off x="8831181" y="1109592"/>
        <a:ext cx="247122" cy="247789"/>
      </dsp:txXfrm>
    </dsp:sp>
    <dsp:sp modelId="{F1D349A6-D8F8-4119-8E2F-DFF2779B7F7D}">
      <dsp:nvSpPr>
        <dsp:cNvPr id="0" name=""/>
        <dsp:cNvSpPr/>
      </dsp:nvSpPr>
      <dsp:spPr>
        <a:xfrm>
          <a:off x="9330756" y="7969"/>
          <a:ext cx="1665247" cy="2451035"/>
        </a:xfrm>
        <a:prstGeom prst="roundRect">
          <a:avLst>
            <a:gd name="adj" fmla="val 10000"/>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t" anchorCtr="0">
          <a:noAutofit/>
        </a:bodyPr>
        <a:lstStyle/>
        <a:p>
          <a:pPr marL="0" lvl="0" indent="0" algn="ctr" defTabSz="666750">
            <a:lnSpc>
              <a:spcPct val="90000"/>
            </a:lnSpc>
            <a:spcBef>
              <a:spcPct val="0"/>
            </a:spcBef>
            <a:spcAft>
              <a:spcPct val="35000"/>
            </a:spcAft>
            <a:buNone/>
          </a:pPr>
          <a:r>
            <a:rPr kumimoji="1" lang="ja-JP" altLang="en-US" sz="1500" kern="1200"/>
            <a:t>残る資金</a:t>
          </a:r>
        </a:p>
      </dsp:txBody>
      <dsp:txXfrm>
        <a:off x="9379529" y="56742"/>
        <a:ext cx="1567701" cy="2353489"/>
      </dsp:txXfrm>
    </dsp:sp>
  </dsp:spTree>
</dsp:drawing>
</file>

<file path=xl/diagrams/layout1.xml><?xml version="1.0" encoding="utf-8"?>
<dgm:layoutDef xmlns:dgm="http://schemas.openxmlformats.org/drawingml/2006/diagram" xmlns:a="http://schemas.openxmlformats.org/drawingml/2006/main" uniqueId="urn:microsoft.com/office/officeart/2005/8/layout/process1">
  <dgm:title val=""/>
  <dgm:desc val=""/>
  <dgm:catLst>
    <dgm:cat type="process" pri="1000"/>
    <dgm:cat type="convert" pri="15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onstrLst>
      <dgm:constr type="w" for="ch" ptType="node" refType="w"/>
      <dgm:constr type="h" for="ch" ptType="node" op="equ"/>
      <dgm:constr type="primFontSz" for="ch" ptType="node" op="equ" val="65"/>
      <dgm:constr type="w" for="ch" ptType="sibTrans" refType="w" refFor="ch" refPtType="node" op="equ" fact="0.4"/>
      <dgm:constr type="h" for="ch" ptType="sibTrans" op="equ"/>
      <dgm:constr type="primFontSz" for="des" forName="connectorText" op="equ" val="55"/>
      <dgm:constr type="primFontSz" for="des" forName="connectorText" refType="primFontSz" refFor="ch" refPtType="node" op="lte" fact="0.8"/>
    </dgm:constrLst>
    <dgm:ruleLst/>
    <dgm:forEach name="nodesForEach" axis="ch" ptType="node">
      <dgm:layoutNode name="node">
        <dgm:varLst>
          <dgm:bulletEnabled val="1"/>
        </dgm:varLst>
        <dgm:alg type="tx"/>
        <dgm:shape xmlns:r="http://schemas.openxmlformats.org/officeDocument/2006/relationships" type="roundRect" r:blip="">
          <dgm:adjLst>
            <dgm:adj idx="1" val="0.1"/>
          </dgm:adjLst>
        </dgm:shape>
        <dgm:presOf axis="desOrSelf" ptType="node"/>
        <dgm:constrLst>
          <dgm:constr type="h" refType="w" fact="0.6"/>
          <dgm:constr type="tMarg" refType="primFontSz" fact="0.3"/>
          <dgm:constr type="bMarg" refType="primFontSz" fact="0.3"/>
          <dgm:constr type="lMarg" refType="primFontSz" fact="0.3"/>
          <dgm:constr type="rMarg" refType="primFontSz" fact="0.3"/>
        </dgm:constrLst>
        <dgm:ruleLst>
          <dgm:rule type="primFontSz" val="18" fact="NaN" max="NaN"/>
          <dgm:rule type="h" val="NaN" fact="1.5" max="NaN"/>
          <dgm:rule type="primFontSz" val="5" fact="NaN" max="NaN"/>
          <dgm:rule type="h" val="INF" fact="NaN" max="NaN"/>
        </dgm:ruleLst>
      </dgm:layoutNode>
      <dgm:forEach name="sibTransForEach" axis="followSib" ptType="sibTrans" cnt="1">
        <dgm:layoutNode name="sibTrans">
          <dgm:alg type="conn">
            <dgm:param type="begPts" val="auto"/>
            <dgm:param type="endPts" val="auto"/>
          </dgm:alg>
          <dgm:shape xmlns:r="http://schemas.openxmlformats.org/officeDocument/2006/relationships" type="conn" r:blip="">
            <dgm:adjLst/>
          </dgm:shape>
          <dgm:presOf axis="self"/>
          <dgm:constrLst>
            <dgm:constr type="h" refType="w" fact="0.62"/>
            <dgm:constr type="connDist"/>
            <dgm:constr type="begPad" refType="connDist" fact="0.25"/>
            <dgm:constr type="endPad" refType="connDist" fact="0.22"/>
          </dgm:constrLst>
          <dgm:ruleLst/>
          <dgm:layoutNode name="connectorText">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2</xdr:col>
      <xdr:colOff>0</xdr:colOff>
      <xdr:row>20</xdr:row>
      <xdr:rowOff>9525</xdr:rowOff>
    </xdr:from>
    <xdr:to>
      <xdr:col>16</xdr:col>
      <xdr:colOff>0</xdr:colOff>
      <xdr:row>33</xdr:row>
      <xdr:rowOff>0</xdr:rowOff>
    </xdr:to>
    <xdr:graphicFrame macro="">
      <xdr:nvGraphicFramePr>
        <xdr:cNvPr id="2" name="図表 1">
          <a:extLst>
            <a:ext uri="{FF2B5EF4-FFF2-40B4-BE49-F238E27FC236}">
              <a16:creationId xmlns:a16="http://schemas.microsoft.com/office/drawing/2014/main" id="{E023BC82-B786-4D3E-A0A9-7A7F7E20E0C7}"/>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NULL"/></Relationships>
</file>

<file path=xl/theme/theme1.xml><?xml version="1.0" encoding="utf-8"?>
<a:theme xmlns:a="http://schemas.openxmlformats.org/drawingml/2006/main" name="トラベル">
  <a:themeElements>
    <a:clrScheme name="トラベル">
      <a:dk1>
        <a:sysClr val="windowText" lastClr="000000"/>
      </a:dk1>
      <a:lt1>
        <a:sysClr val="window" lastClr="FFFFFF"/>
      </a:lt1>
      <a:dk2>
        <a:srgbClr val="4E3B30"/>
      </a:dk2>
      <a:lt2>
        <a:srgbClr val="FBEEC9"/>
      </a:lt2>
      <a:accent1>
        <a:srgbClr val="F0A22E"/>
      </a:accent1>
      <a:accent2>
        <a:srgbClr val="A5644E"/>
      </a:accent2>
      <a:accent3>
        <a:srgbClr val="B58B80"/>
      </a:accent3>
      <a:accent4>
        <a:srgbClr val="C3986D"/>
      </a:accent4>
      <a:accent5>
        <a:srgbClr val="A19574"/>
      </a:accent5>
      <a:accent6>
        <a:srgbClr val="C17529"/>
      </a:accent6>
      <a:hlink>
        <a:srgbClr val="AD1F1F"/>
      </a:hlink>
      <a:folHlink>
        <a:srgbClr val="FFC42F"/>
      </a:folHlink>
    </a:clrScheme>
    <a:fontScheme name="main">
      <a:majorFont>
        <a:latin typeface="Arial"/>
        <a:ea typeface="メイリオ"/>
        <a:cs typeface=""/>
      </a:majorFont>
      <a:minorFont>
        <a:latin typeface="Arial"/>
        <a:ea typeface="メイリオ"/>
        <a:cs typeface=""/>
      </a:minorFont>
    </a:fontScheme>
    <a:fmtScheme name="トラベル">
      <a:fillStyleLst>
        <a:solidFill>
          <a:schemeClr val="phClr"/>
        </a:solidFill>
        <a:gradFill rotWithShape="1">
          <a:gsLst>
            <a:gs pos="0">
              <a:schemeClr val="phClr">
                <a:tint val="30000"/>
                <a:satMod val="250000"/>
              </a:schemeClr>
            </a:gs>
            <a:gs pos="72000">
              <a:schemeClr val="phClr">
                <a:tint val="75000"/>
                <a:satMod val="210000"/>
              </a:schemeClr>
            </a:gs>
            <a:gs pos="100000">
              <a:schemeClr val="phClr">
                <a:tint val="85000"/>
                <a:satMod val="210000"/>
              </a:schemeClr>
            </a:gs>
          </a:gsLst>
          <a:lin ang="5400000" scaled="1"/>
        </a:gradFill>
        <a:gradFill rotWithShape="1">
          <a:gsLst>
            <a:gs pos="0">
              <a:schemeClr val="phClr">
                <a:tint val="75000"/>
                <a:shade val="85000"/>
                <a:satMod val="230000"/>
              </a:schemeClr>
            </a:gs>
            <a:gs pos="25000">
              <a:schemeClr val="phClr">
                <a:tint val="90000"/>
                <a:shade val="70000"/>
                <a:satMod val="220000"/>
              </a:schemeClr>
            </a:gs>
            <a:gs pos="50000">
              <a:schemeClr val="phClr">
                <a:tint val="90000"/>
                <a:shade val="58000"/>
                <a:satMod val="225000"/>
              </a:schemeClr>
            </a:gs>
            <a:gs pos="65000">
              <a:schemeClr val="phClr">
                <a:tint val="90000"/>
                <a:shade val="58000"/>
                <a:satMod val="225000"/>
              </a:schemeClr>
            </a:gs>
            <a:gs pos="80000">
              <a:schemeClr val="phClr">
                <a:tint val="90000"/>
                <a:shade val="69000"/>
                <a:satMod val="220000"/>
              </a:schemeClr>
            </a:gs>
            <a:gs pos="100000">
              <a:schemeClr val="phClr">
                <a:tint val="77000"/>
                <a:shade val="80000"/>
                <a:satMod val="230000"/>
              </a:schemeClr>
            </a:gs>
          </a:gsLst>
          <a:lin ang="5400000" scaled="1"/>
        </a:gradFill>
      </a:fillStyleLst>
      <a:lnStyleLst>
        <a:ln w="10000"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76200" dist="50800" dir="5400000" rotWithShape="0">
              <a:srgbClr val="4E3B30">
                <a:alpha val="60000"/>
              </a:srgbClr>
            </a:outerShdw>
          </a:effectLst>
        </a:effectStyle>
        <a:effectStyle>
          <a:effectLst>
            <a:outerShdw blurRad="76200" dist="50800" dir="5400000" rotWithShape="0">
              <a:srgbClr val="4E3B30">
                <a:alpha val="60000"/>
              </a:srgbClr>
            </a:outerShdw>
          </a:effectLst>
          <a:scene3d>
            <a:camera prst="orthographicFront">
              <a:rot lat="0" lon="0" rev="0"/>
            </a:camera>
            <a:lightRig rig="threePt" dir="tl">
              <a:rot lat="0" lon="0" rev="0"/>
            </a:lightRig>
          </a:scene3d>
          <a:sp3d prstMaterial="metal">
            <a:bevelT w="10000" h="10000"/>
          </a:sp3d>
        </a:effectStyle>
        <a:effectStyle>
          <a:effectLst>
            <a:outerShdw blurRad="76200" dist="50800" dir="5400000" rotWithShape="0">
              <a:srgbClr val="4E3B30">
                <a:alpha val="60000"/>
              </a:srgbClr>
            </a:outerShdw>
          </a:effectLst>
          <a:scene3d>
            <a:camera prst="obliqueTopLeft" fov="600000">
              <a:rot lat="0" lon="0" rev="0"/>
            </a:camera>
            <a:lightRig rig="balanced" dir="t">
              <a:rot lat="0" lon="0" rev="19200000"/>
            </a:lightRig>
          </a:scene3d>
          <a:sp3d contourW="12700" prstMaterial="matte">
            <a:bevelT w="60000" h="50800"/>
            <a:contourClr>
              <a:schemeClr val="phClr">
                <a:shade val="60000"/>
                <a:satMod val="110000"/>
              </a:schemeClr>
            </a:contourClr>
          </a:sp3d>
        </a:effectStyle>
      </a:effectStyleLst>
      <a:bgFillStyleLst>
        <a:solidFill>
          <a:schemeClr val="phClr"/>
        </a:solidFill>
        <a:blipFill>
          <a:blip xmlns:r="http://schemas.openxmlformats.org/officeDocument/2006/relationships" r:embed="rId1">
            <a:duotone>
              <a:schemeClr val="phClr">
                <a:shade val="90000"/>
                <a:satMod val="150000"/>
              </a:schemeClr>
              <a:schemeClr val="phClr">
                <a:tint val="88000"/>
                <a:satMod val="105000"/>
              </a:schemeClr>
            </a:duotone>
          </a:blip>
          <a:tile tx="0" ty="0" sx="95000" sy="95000" flip="none" algn="t"/>
        </a:blipFill>
        <a:blipFill>
          <a:blip xmlns:r="http://schemas.openxmlformats.org/officeDocument/2006/relationships" r:embed="rId1">
            <a:duotone>
              <a:schemeClr val="phClr">
                <a:shade val="30000"/>
                <a:satMod val="455000"/>
              </a:schemeClr>
              <a:schemeClr val="phClr">
                <a:tint val="95000"/>
                <a:satMod val="120000"/>
              </a:schemeClr>
            </a:duotone>
          </a:blip>
          <a:stretch>
            <a:fillRect/>
          </a:stretch>
        </a:blip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hiroaki.horiguchi@aoudo.jp"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T144"/>
  <sheetViews>
    <sheetView showGridLines="0" tabSelected="1" topLeftCell="A31" zoomScaleNormal="100" zoomScalePageLayoutView="150" workbookViewId="0">
      <selection activeCell="N8" sqref="N8"/>
    </sheetView>
  </sheetViews>
  <sheetFormatPr defaultColWidth="8.84375" defaultRowHeight="15" customHeight="1"/>
  <cols>
    <col min="1" max="1" width="3.69140625" style="2" customWidth="1"/>
    <col min="2" max="16" width="12.69140625" style="2" customWidth="1"/>
    <col min="17" max="16384" width="8.84375" style="2"/>
  </cols>
  <sheetData>
    <row r="1" spans="1:16" ht="19.149999999999999" thickBot="1">
      <c r="A1" s="5" t="s">
        <v>193</v>
      </c>
      <c r="B1" s="3"/>
      <c r="C1" s="3"/>
      <c r="D1" s="3"/>
      <c r="E1" s="3"/>
      <c r="F1" s="3"/>
      <c r="G1" s="3"/>
      <c r="H1" s="3"/>
      <c r="I1" s="3"/>
      <c r="J1" s="3"/>
      <c r="K1" s="3"/>
      <c r="L1" s="3"/>
      <c r="M1" s="3"/>
      <c r="N1" s="3"/>
      <c r="O1" s="3"/>
      <c r="P1" s="3"/>
    </row>
    <row r="2" spans="1:16" ht="15" customHeight="1" thickTop="1"/>
    <row r="3" spans="1:16" ht="15" customHeight="1">
      <c r="J3" s="82" t="s">
        <v>197</v>
      </c>
      <c r="K3" s="151">
        <v>43966</v>
      </c>
      <c r="L3" s="151"/>
      <c r="M3" s="1" t="s">
        <v>201</v>
      </c>
      <c r="N3" s="119" t="s">
        <v>202</v>
      </c>
    </row>
    <row r="4" spans="1:16" ht="15" customHeight="1">
      <c r="J4" s="1" t="s">
        <v>1</v>
      </c>
      <c r="K4" s="2" t="s">
        <v>2</v>
      </c>
      <c r="M4" s="1" t="s">
        <v>203</v>
      </c>
      <c r="N4" s="2" t="s">
        <v>204</v>
      </c>
    </row>
    <row r="5" spans="1:16" ht="15" customHeight="1" thickBot="1">
      <c r="A5" s="6" t="s">
        <v>177</v>
      </c>
      <c r="B5" s="5"/>
      <c r="C5" s="5"/>
      <c r="D5" s="5"/>
      <c r="E5" s="5"/>
      <c r="F5" s="5"/>
      <c r="G5" s="5"/>
      <c r="H5" s="5"/>
      <c r="I5" s="5"/>
      <c r="J5" s="5"/>
      <c r="K5" s="5"/>
      <c r="L5" s="5"/>
      <c r="M5" s="5"/>
      <c r="N5" s="5"/>
      <c r="O5" s="5"/>
      <c r="P5" s="5"/>
    </row>
    <row r="6" spans="1:16" ht="15" customHeight="1" thickTop="1"/>
    <row r="7" spans="1:16" ht="15" customHeight="1">
      <c r="B7" s="82" t="s">
        <v>178</v>
      </c>
      <c r="C7" s="152" t="s">
        <v>179</v>
      </c>
      <c r="D7" s="152"/>
      <c r="E7" s="152"/>
      <c r="F7" s="152"/>
      <c r="G7" s="152"/>
      <c r="I7" s="7" t="s">
        <v>197</v>
      </c>
      <c r="J7" s="10">
        <v>2022</v>
      </c>
      <c r="K7" s="7" t="s">
        <v>198</v>
      </c>
      <c r="L7" s="10">
        <v>3</v>
      </c>
      <c r="M7" s="7" t="s">
        <v>199</v>
      </c>
      <c r="N7" s="10">
        <v>15</v>
      </c>
      <c r="O7" s="7" t="s">
        <v>200</v>
      </c>
    </row>
    <row r="9" spans="1:16" ht="15" customHeight="1" thickBot="1">
      <c r="A9" s="6" t="s">
        <v>205</v>
      </c>
      <c r="B9" s="5"/>
      <c r="C9" s="5"/>
      <c r="D9" s="5"/>
      <c r="E9" s="5"/>
      <c r="F9" s="5"/>
      <c r="G9" s="5"/>
      <c r="H9" s="5"/>
      <c r="I9" s="5"/>
      <c r="J9" s="5"/>
      <c r="K9" s="5"/>
      <c r="L9" s="5"/>
      <c r="M9" s="5"/>
      <c r="N9" s="5"/>
      <c r="O9" s="5"/>
      <c r="P9" s="5"/>
    </row>
    <row r="10" spans="1:16" ht="15" customHeight="1" thickTop="1"/>
    <row r="11" spans="1:16" ht="15" customHeight="1">
      <c r="B11" s="7" t="s">
        <v>206</v>
      </c>
    </row>
    <row r="12" spans="1:16" ht="15" customHeight="1">
      <c r="B12" s="7" t="s">
        <v>207</v>
      </c>
    </row>
    <row r="13" spans="1:16" ht="15" customHeight="1">
      <c r="B13" s="7" t="s">
        <v>208</v>
      </c>
    </row>
    <row r="14" spans="1:16" ht="15" customHeight="1">
      <c r="B14" s="7"/>
    </row>
    <row r="15" spans="1:16" ht="15" customHeight="1">
      <c r="B15" s="7" t="s">
        <v>209</v>
      </c>
    </row>
    <row r="16" spans="1:16" ht="15" customHeight="1">
      <c r="B16" s="77">
        <v>1</v>
      </c>
      <c r="C16" s="120" t="s">
        <v>210</v>
      </c>
    </row>
    <row r="17" spans="2:3" ht="15" customHeight="1">
      <c r="B17" s="77">
        <v>2</v>
      </c>
      <c r="C17" s="120" t="s">
        <v>211</v>
      </c>
    </row>
    <row r="18" spans="2:3" ht="15" customHeight="1">
      <c r="B18" s="7"/>
    </row>
    <row r="19" spans="2:3" ht="15" customHeight="1">
      <c r="B19" s="7" t="s">
        <v>215</v>
      </c>
    </row>
    <row r="20" spans="2:3" ht="15" customHeight="1">
      <c r="B20" s="7" t="s">
        <v>216</v>
      </c>
    </row>
    <row r="21" spans="2:3" ht="15" customHeight="1">
      <c r="B21" s="7"/>
    </row>
    <row r="22" spans="2:3" ht="15" customHeight="1">
      <c r="B22" s="7"/>
    </row>
    <row r="23" spans="2:3" ht="15" customHeight="1">
      <c r="B23" s="7"/>
    </row>
    <row r="24" spans="2:3" ht="15" customHeight="1">
      <c r="B24" s="7"/>
    </row>
    <row r="25" spans="2:3" ht="15" customHeight="1">
      <c r="B25" s="7"/>
    </row>
    <row r="26" spans="2:3" ht="15" customHeight="1">
      <c r="B26" s="7"/>
    </row>
    <row r="27" spans="2:3" ht="15" customHeight="1">
      <c r="B27" s="7"/>
    </row>
    <row r="28" spans="2:3" ht="15" customHeight="1">
      <c r="B28" s="7"/>
    </row>
    <row r="29" spans="2:3" ht="15" customHeight="1">
      <c r="B29" s="7"/>
    </row>
    <row r="30" spans="2:3" ht="15" customHeight="1">
      <c r="B30" s="7"/>
    </row>
    <row r="31" spans="2:3" ht="15" customHeight="1">
      <c r="B31" s="7"/>
    </row>
    <row r="32" spans="2:3" ht="15" customHeight="1">
      <c r="B32" s="7"/>
    </row>
    <row r="33" spans="2:4" ht="15" customHeight="1">
      <c r="B33" s="7"/>
    </row>
    <row r="34" spans="2:4" ht="15" customHeight="1">
      <c r="B34" s="7"/>
      <c r="C34" s="7" t="s">
        <v>217</v>
      </c>
    </row>
    <row r="35" spans="2:4" ht="15" customHeight="1">
      <c r="B35" s="7"/>
    </row>
    <row r="36" spans="2:4" ht="15" customHeight="1">
      <c r="B36" s="7" t="s">
        <v>218</v>
      </c>
    </row>
    <row r="37" spans="2:4" ht="15" customHeight="1">
      <c r="B37" s="7" t="s">
        <v>221</v>
      </c>
    </row>
    <row r="38" spans="2:4" ht="15" customHeight="1">
      <c r="B38" s="7" t="s">
        <v>222</v>
      </c>
    </row>
    <row r="39" spans="2:4" ht="15" customHeight="1">
      <c r="B39" s="7"/>
    </row>
    <row r="40" spans="2:4" ht="15" customHeight="1">
      <c r="B40" s="7" t="s">
        <v>219</v>
      </c>
    </row>
    <row r="41" spans="2:4" ht="15" customHeight="1">
      <c r="B41" s="7"/>
    </row>
    <row r="42" spans="2:4" ht="15" customHeight="1">
      <c r="B42" s="122" t="s">
        <v>225</v>
      </c>
    </row>
    <row r="43" spans="2:4" ht="15" customHeight="1">
      <c r="B43" s="2">
        <v>1</v>
      </c>
      <c r="C43" s="9" t="s">
        <v>226</v>
      </c>
    </row>
    <row r="44" spans="2:4" ht="15" customHeight="1">
      <c r="C44" s="2">
        <v>1.1000000000000001</v>
      </c>
      <c r="D44" s="7" t="s">
        <v>227</v>
      </c>
    </row>
    <row r="45" spans="2:4" ht="15" customHeight="1">
      <c r="C45" s="2">
        <v>1.2</v>
      </c>
      <c r="D45" s="7" t="s">
        <v>228</v>
      </c>
    </row>
    <row r="46" spans="2:4" ht="15" customHeight="1">
      <c r="C46" s="2">
        <v>1.3</v>
      </c>
      <c r="D46" s="7" t="s">
        <v>229</v>
      </c>
    </row>
    <row r="47" spans="2:4" ht="15" customHeight="1">
      <c r="C47" s="2">
        <v>1.4</v>
      </c>
      <c r="D47" s="7" t="s">
        <v>230</v>
      </c>
    </row>
    <row r="48" spans="2:4" ht="15" customHeight="1">
      <c r="B48" s="2">
        <v>2</v>
      </c>
      <c r="C48" s="9" t="s">
        <v>231</v>
      </c>
    </row>
    <row r="49" spans="2:16" ht="15" customHeight="1">
      <c r="B49" s="7"/>
      <c r="C49" s="2">
        <v>2.1</v>
      </c>
      <c r="D49" s="7" t="s">
        <v>223</v>
      </c>
    </row>
    <row r="50" spans="2:16" ht="15" customHeight="1">
      <c r="B50" s="7"/>
      <c r="C50" s="2">
        <v>2.2000000000000002</v>
      </c>
      <c r="D50" s="7" t="s">
        <v>224</v>
      </c>
    </row>
    <row r="51" spans="2:16" ht="15" customHeight="1">
      <c r="B51" s="7"/>
      <c r="C51" s="2">
        <v>2.2999999999999998</v>
      </c>
      <c r="D51" s="7" t="s">
        <v>232</v>
      </c>
    </row>
    <row r="52" spans="2:16" ht="15" customHeight="1">
      <c r="B52" s="7">
        <v>3</v>
      </c>
      <c r="C52" s="9" t="s">
        <v>233</v>
      </c>
      <c r="D52" s="7"/>
    </row>
    <row r="53" spans="2:16" ht="15" customHeight="1">
      <c r="B53" s="7"/>
      <c r="C53" s="2">
        <v>3.1</v>
      </c>
      <c r="D53" s="7" t="s">
        <v>234</v>
      </c>
    </row>
    <row r="54" spans="2:16" ht="15" customHeight="1">
      <c r="B54" s="7"/>
      <c r="C54" s="2">
        <v>3.2</v>
      </c>
      <c r="D54" s="7" t="s">
        <v>235</v>
      </c>
    </row>
    <row r="55" spans="2:16" ht="15" customHeight="1">
      <c r="B55" s="7"/>
      <c r="D55" s="7"/>
    </row>
    <row r="56" spans="2:16" ht="15" customHeight="1">
      <c r="B56" s="7" t="s">
        <v>236</v>
      </c>
      <c r="D56" s="7"/>
    </row>
    <row r="57" spans="2:16" ht="15" customHeight="1">
      <c r="B57" s="7"/>
    </row>
    <row r="58" spans="2:16" ht="15" customHeight="1">
      <c r="B58" s="7"/>
    </row>
    <row r="59" spans="2:16" ht="15" customHeight="1" thickBot="1">
      <c r="B59" s="117" t="s">
        <v>220</v>
      </c>
      <c r="C59" s="117"/>
      <c r="D59" s="117"/>
      <c r="E59" s="117"/>
      <c r="F59" s="117"/>
      <c r="G59" s="117"/>
      <c r="H59" s="117"/>
      <c r="I59" s="117"/>
      <c r="J59" s="117"/>
      <c r="K59" s="117"/>
      <c r="L59" s="117"/>
      <c r="M59" s="117"/>
      <c r="N59" s="117"/>
      <c r="O59" s="117"/>
      <c r="P59" s="117"/>
    </row>
    <row r="60" spans="2:16" ht="15" customHeight="1" thickTop="1">
      <c r="B60" s="7"/>
    </row>
    <row r="61" spans="2:16" ht="15" customHeight="1">
      <c r="B61" s="7" t="s">
        <v>3</v>
      </c>
    </row>
    <row r="62" spans="2:16" ht="15" customHeight="1">
      <c r="B62" s="7" t="s">
        <v>4</v>
      </c>
    </row>
    <row r="64" spans="2:16" ht="15" customHeight="1">
      <c r="B64" s="7" t="s">
        <v>5</v>
      </c>
    </row>
    <row r="66" spans="2:12" ht="15" customHeight="1">
      <c r="B66" s="14" t="s">
        <v>20</v>
      </c>
    </row>
    <row r="67" spans="2:12" ht="15" customHeight="1">
      <c r="L67" s="8"/>
    </row>
    <row r="68" spans="2:12" ht="15" customHeight="1">
      <c r="C68" s="7" t="s">
        <v>6</v>
      </c>
      <c r="D68" s="7" t="s">
        <v>7</v>
      </c>
      <c r="H68" s="7" t="s">
        <v>8</v>
      </c>
    </row>
    <row r="69" spans="2:12" ht="15" customHeight="1">
      <c r="C69" s="7" t="s">
        <v>9</v>
      </c>
      <c r="D69" s="7" t="s">
        <v>10</v>
      </c>
      <c r="H69" s="7" t="s">
        <v>11</v>
      </c>
      <c r="L69" s="8"/>
    </row>
    <row r="70" spans="2:12" ht="15" customHeight="1">
      <c r="L70" s="8"/>
    </row>
    <row r="71" spans="2:12" ht="15" customHeight="1">
      <c r="B71" s="8" t="s">
        <v>16</v>
      </c>
      <c r="L71" s="8"/>
    </row>
    <row r="72" spans="2:12" ht="15" customHeight="1">
      <c r="C72" s="7" t="s">
        <v>15</v>
      </c>
      <c r="E72" s="11">
        <v>12000000</v>
      </c>
      <c r="F72" s="7" t="s">
        <v>14</v>
      </c>
      <c r="G72" s="19"/>
      <c r="L72" s="8"/>
    </row>
    <row r="73" spans="2:12" ht="15" customHeight="1">
      <c r="C73" s="7" t="s">
        <v>6</v>
      </c>
      <c r="D73" s="7" t="s">
        <v>12</v>
      </c>
      <c r="E73" s="11">
        <v>500000</v>
      </c>
      <c r="F73" s="7" t="s">
        <v>14</v>
      </c>
      <c r="L73" s="8"/>
    </row>
    <row r="74" spans="2:12" ht="15" customHeight="1">
      <c r="C74" s="7" t="s">
        <v>9</v>
      </c>
      <c r="D74" s="7" t="s">
        <v>23</v>
      </c>
      <c r="E74" s="11">
        <v>4000000</v>
      </c>
      <c r="F74" s="7" t="s">
        <v>14</v>
      </c>
      <c r="L74" s="8"/>
    </row>
    <row r="75" spans="2:12" ht="15" customHeight="1">
      <c r="L75" s="8"/>
    </row>
    <row r="76" spans="2:12" ht="15" customHeight="1">
      <c r="B76" s="7" t="s">
        <v>17</v>
      </c>
      <c r="D76" s="7" t="s">
        <v>6</v>
      </c>
      <c r="E76" s="12">
        <f>E73</f>
        <v>500000</v>
      </c>
      <c r="F76" s="7" t="s">
        <v>18</v>
      </c>
      <c r="H76" s="12">
        <f>E74</f>
        <v>4000000</v>
      </c>
      <c r="I76" s="13" t="s">
        <v>19</v>
      </c>
      <c r="J76" s="12">
        <f>E72</f>
        <v>12000000</v>
      </c>
      <c r="K76" s="15" t="s">
        <v>21</v>
      </c>
      <c r="L76" s="8"/>
    </row>
    <row r="77" spans="2:12" ht="15" customHeight="1">
      <c r="C77" s="16" t="s">
        <v>22</v>
      </c>
      <c r="D77" s="18">
        <f>E76/(1-(H76/J76))</f>
        <v>749999.99999999988</v>
      </c>
      <c r="L77" s="8"/>
    </row>
    <row r="79" spans="2:12" ht="15" customHeight="1">
      <c r="B79" s="7" t="s">
        <v>24</v>
      </c>
      <c r="I79" s="12">
        <f>D77</f>
        <v>749999.99999999988</v>
      </c>
      <c r="J79" s="7" t="s">
        <v>25</v>
      </c>
      <c r="L79" s="8"/>
    </row>
    <row r="81" spans="2:16" ht="15" customHeight="1">
      <c r="B81" s="7" t="s">
        <v>26</v>
      </c>
      <c r="D81" s="20" t="s">
        <v>27</v>
      </c>
      <c r="L81" s="8"/>
    </row>
    <row r="82" spans="2:16" ht="15" customHeight="1">
      <c r="L82" s="8"/>
    </row>
    <row r="83" spans="2:16" ht="15" customHeight="1">
      <c r="B83" s="7" t="s">
        <v>28</v>
      </c>
      <c r="L83" s="8"/>
    </row>
    <row r="84" spans="2:16" ht="15" customHeight="1">
      <c r="B84" s="7" t="s">
        <v>29</v>
      </c>
      <c r="G84" s="9" t="s">
        <v>30</v>
      </c>
      <c r="J84" s="7" t="s">
        <v>31</v>
      </c>
      <c r="L84" s="8"/>
    </row>
    <row r="85" spans="2:16" ht="15" customHeight="1">
      <c r="B85" s="7" t="s">
        <v>255</v>
      </c>
      <c r="L85" s="8"/>
    </row>
    <row r="86" spans="2:16" ht="15" customHeight="1">
      <c r="L86" s="8"/>
    </row>
    <row r="87" spans="2:16" ht="15" customHeight="1">
      <c r="B87" s="7" t="s">
        <v>32</v>
      </c>
    </row>
    <row r="88" spans="2:16" ht="15" customHeight="1">
      <c r="B88" s="7"/>
    </row>
    <row r="89" spans="2:16" ht="15" customHeight="1">
      <c r="B89" s="7"/>
    </row>
    <row r="90" spans="2:16" ht="15" customHeight="1" thickBot="1">
      <c r="B90" s="117" t="s">
        <v>212</v>
      </c>
      <c r="C90" s="117"/>
      <c r="D90" s="117"/>
      <c r="E90" s="117"/>
      <c r="F90" s="117"/>
      <c r="G90" s="117"/>
      <c r="H90" s="117"/>
      <c r="I90" s="117"/>
      <c r="J90" s="117"/>
      <c r="K90" s="117"/>
      <c r="L90" s="117"/>
      <c r="M90" s="117"/>
      <c r="N90" s="117"/>
      <c r="O90" s="117"/>
      <c r="P90" s="117"/>
    </row>
    <row r="91" spans="2:16" ht="15" customHeight="1" thickTop="1">
      <c r="B91" s="7"/>
    </row>
    <row r="92" spans="2:16" ht="15" customHeight="1">
      <c r="B92" s="7" t="s">
        <v>237</v>
      </c>
    </row>
    <row r="93" spans="2:16" ht="15" customHeight="1">
      <c r="B93" s="7" t="s">
        <v>238</v>
      </c>
    </row>
    <row r="94" spans="2:16" ht="15" customHeight="1">
      <c r="B94" s="121">
        <v>1</v>
      </c>
      <c r="C94" s="123" t="s">
        <v>242</v>
      </c>
    </row>
    <row r="95" spans="2:16" ht="15" customHeight="1">
      <c r="B95" s="121">
        <v>2</v>
      </c>
      <c r="C95" s="120" t="s">
        <v>241</v>
      </c>
    </row>
    <row r="96" spans="2:16" ht="15" customHeight="1">
      <c r="B96" s="120">
        <v>3</v>
      </c>
      <c r="C96" s="120" t="s">
        <v>239</v>
      </c>
    </row>
    <row r="97" spans="1:16" ht="15" customHeight="1">
      <c r="B97" s="121">
        <v>4</v>
      </c>
      <c r="C97" s="120" t="s">
        <v>240</v>
      </c>
    </row>
    <row r="98" spans="1:16" ht="15" customHeight="1">
      <c r="B98" s="7"/>
    </row>
    <row r="100" spans="1:16" ht="15" customHeight="1" thickBot="1">
      <c r="A100" s="6" t="s">
        <v>214</v>
      </c>
      <c r="B100" s="5"/>
      <c r="C100" s="5"/>
      <c r="D100" s="5"/>
      <c r="E100" s="5"/>
      <c r="F100" s="5"/>
      <c r="G100" s="5"/>
      <c r="H100" s="5"/>
      <c r="I100" s="5"/>
      <c r="J100" s="5"/>
      <c r="K100" s="5"/>
      <c r="L100" s="5"/>
      <c r="M100" s="5"/>
      <c r="N100" s="5"/>
      <c r="O100" s="5"/>
      <c r="P100" s="5"/>
    </row>
    <row r="101" spans="1:16" ht="15" customHeight="1" thickTop="1"/>
    <row r="102" spans="1:16" ht="15" customHeight="1">
      <c r="B102" s="82" t="s">
        <v>243</v>
      </c>
      <c r="C102" s="7" t="s">
        <v>244</v>
      </c>
    </row>
    <row r="103" spans="1:16" ht="15" customHeight="1">
      <c r="B103" s="82"/>
      <c r="C103" s="7"/>
      <c r="D103" s="124" t="s">
        <v>254</v>
      </c>
      <c r="E103" s="125"/>
      <c r="F103" s="125"/>
      <c r="G103" s="125"/>
      <c r="H103" s="125"/>
    </row>
    <row r="104" spans="1:16" ht="15" customHeight="1">
      <c r="B104" s="82"/>
      <c r="C104" s="7"/>
      <c r="D104" s="126" t="s">
        <v>245</v>
      </c>
      <c r="E104" s="125"/>
      <c r="F104" s="125"/>
      <c r="G104" s="125"/>
      <c r="H104" s="126" t="s">
        <v>246</v>
      </c>
    </row>
    <row r="105" spans="1:16" ht="15" customHeight="1">
      <c r="B105" s="82"/>
      <c r="C105" s="7"/>
      <c r="D105" s="125"/>
      <c r="E105" s="125"/>
      <c r="F105" s="125"/>
      <c r="G105" s="125"/>
      <c r="H105" s="125"/>
    </row>
    <row r="106" spans="1:16" ht="15" customHeight="1">
      <c r="B106" s="82"/>
      <c r="C106" s="7"/>
      <c r="D106" s="126" t="s">
        <v>247</v>
      </c>
      <c r="E106" s="125"/>
      <c r="F106" s="125"/>
      <c r="G106" s="125"/>
      <c r="H106" s="125"/>
    </row>
    <row r="107" spans="1:16" ht="15" customHeight="1">
      <c r="B107" s="82"/>
      <c r="C107" s="7"/>
    </row>
    <row r="108" spans="1:16" ht="15" customHeight="1">
      <c r="B108" s="82" t="s">
        <v>248</v>
      </c>
      <c r="C108" s="7" t="s">
        <v>249</v>
      </c>
    </row>
    <row r="109" spans="1:16" ht="15" customHeight="1">
      <c r="B109" s="82"/>
      <c r="C109" s="7" t="s">
        <v>250</v>
      </c>
    </row>
    <row r="110" spans="1:16" ht="15" customHeight="1">
      <c r="B110" s="82"/>
      <c r="C110" s="7"/>
      <c r="D110" s="126" t="s">
        <v>251</v>
      </c>
    </row>
    <row r="111" spans="1:16" ht="15" customHeight="1">
      <c r="B111" s="82"/>
      <c r="C111" s="7"/>
    </row>
    <row r="112" spans="1:16" ht="15" customHeight="1">
      <c r="B112" s="82" t="s">
        <v>252</v>
      </c>
      <c r="C112" s="7" t="s">
        <v>253</v>
      </c>
    </row>
    <row r="117" spans="1:16" ht="15" customHeight="1">
      <c r="B117" s="7" t="s">
        <v>33</v>
      </c>
      <c r="D117" s="10"/>
      <c r="E117" s="7" t="s">
        <v>34</v>
      </c>
    </row>
    <row r="118" spans="1:16" ht="15" customHeight="1">
      <c r="B118" s="7" t="s">
        <v>35</v>
      </c>
    </row>
    <row r="119" spans="1:16" ht="15" customHeight="1">
      <c r="B119" s="7" t="s">
        <v>36</v>
      </c>
    </row>
    <row r="121" spans="1:16" ht="15" customHeight="1">
      <c r="B121" s="7" t="s">
        <v>39</v>
      </c>
    </row>
    <row r="122" spans="1:16" ht="15" customHeight="1">
      <c r="B122" s="7" t="s">
        <v>213</v>
      </c>
    </row>
    <row r="125" spans="1:16" ht="15" customHeight="1" thickBot="1">
      <c r="A125" s="6" t="s">
        <v>181</v>
      </c>
      <c r="B125" s="5"/>
      <c r="C125" s="5"/>
      <c r="D125" s="5"/>
      <c r="E125" s="5"/>
      <c r="F125" s="5"/>
      <c r="G125" s="5"/>
      <c r="H125" s="5"/>
      <c r="I125" s="5"/>
      <c r="J125" s="5"/>
      <c r="K125" s="5"/>
      <c r="L125" s="5"/>
      <c r="M125" s="5"/>
      <c r="N125" s="5"/>
      <c r="O125" s="5"/>
      <c r="P125" s="5"/>
    </row>
    <row r="126" spans="1:16" ht="15" customHeight="1" thickTop="1"/>
    <row r="127" spans="1:16" ht="15" customHeight="1">
      <c r="B127" s="7" t="s">
        <v>182</v>
      </c>
    </row>
    <row r="128" spans="1:16" ht="15" customHeight="1">
      <c r="B128" s="7" t="s">
        <v>183</v>
      </c>
    </row>
    <row r="129" spans="1:20" ht="15" customHeight="1">
      <c r="B129" s="7" t="s">
        <v>184</v>
      </c>
    </row>
    <row r="130" spans="1:20" ht="15" customHeight="1">
      <c r="B130" s="7" t="s">
        <v>185</v>
      </c>
    </row>
    <row r="131" spans="1:20" ht="15" customHeight="1">
      <c r="B131" s="7" t="s">
        <v>186</v>
      </c>
    </row>
    <row r="132" spans="1:20" ht="15" customHeight="1">
      <c r="B132" s="7" t="s">
        <v>187</v>
      </c>
    </row>
    <row r="134" spans="1:20" ht="15" customHeight="1">
      <c r="B134" s="7" t="s">
        <v>188</v>
      </c>
    </row>
    <row r="136" spans="1:20" ht="15" customHeight="1">
      <c r="B136" s="7" t="s">
        <v>189</v>
      </c>
      <c r="C136" s="2">
        <v>1</v>
      </c>
      <c r="D136" s="2" t="s">
        <v>190</v>
      </c>
    </row>
    <row r="137" spans="1:20" ht="15" customHeight="1">
      <c r="C137" s="2">
        <v>2</v>
      </c>
      <c r="D137" s="77" t="s">
        <v>191</v>
      </c>
    </row>
    <row r="138" spans="1:20" ht="15" customHeight="1">
      <c r="B138" s="7" t="s">
        <v>192</v>
      </c>
    </row>
    <row r="139" spans="1:20" ht="15" customHeight="1">
      <c r="B139" s="7"/>
    </row>
    <row r="141" spans="1:20" ht="15" customHeight="1" thickBot="1">
      <c r="A141" s="117" t="s">
        <v>194</v>
      </c>
      <c r="B141" s="117"/>
      <c r="C141" s="117"/>
      <c r="D141" s="117"/>
      <c r="E141" s="117"/>
      <c r="F141" s="117"/>
      <c r="G141" s="117"/>
      <c r="H141" s="117"/>
      <c r="I141" s="117"/>
      <c r="J141" s="117"/>
      <c r="K141" s="117"/>
      <c r="L141" s="117"/>
      <c r="M141" s="117"/>
      <c r="N141" s="117"/>
      <c r="O141" s="117"/>
      <c r="P141" s="117"/>
      <c r="Q141" s="117"/>
      <c r="R141" s="117"/>
      <c r="S141" s="117"/>
      <c r="T141" s="117"/>
    </row>
    <row r="142" spans="1:20" ht="15" customHeight="1" thickTop="1"/>
    <row r="143" spans="1:20" ht="15" customHeight="1">
      <c r="B143" s="2">
        <v>1</v>
      </c>
      <c r="C143" s="7" t="s">
        <v>195</v>
      </c>
      <c r="E143" s="118">
        <v>43912</v>
      </c>
    </row>
    <row r="144" spans="1:20" ht="15" customHeight="1">
      <c r="B144" s="2">
        <v>2</v>
      </c>
      <c r="C144" s="7" t="s">
        <v>196</v>
      </c>
      <c r="E144" s="118">
        <v>43966</v>
      </c>
    </row>
  </sheetData>
  <mergeCells count="2">
    <mergeCell ref="K3:L3"/>
    <mergeCell ref="C7:G7"/>
  </mergeCells>
  <phoneticPr fontId="3"/>
  <hyperlinks>
    <hyperlink ref="N3" r:id="rId1" xr:uid="{933D2CEC-1A8D-43DC-9363-2885E9BF7875}"/>
  </hyperlinks>
  <pageMargins left="0.70866141732283472" right="0.70866141732283472" top="0.74803149606299213" bottom="0.74803149606299213" header="0.31496062992125984" footer="0.31496062992125984"/>
  <pageSetup paperSize="9" orientation="landscape" horizontalDpi="4294967293" verticalDpi="4294967293" r:id="rId2"/>
  <headerFooter>
    <oddHeader>&amp;L&amp;F / &amp;A</oddHeader>
    <oddFooter>&amp;L&amp;P / &amp;N</oddFooter>
  </headerFooter>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A78CC-F7A4-4504-923F-98D395D87BEE}">
  <sheetPr>
    <tabColor rgb="FFC00000"/>
    <pageSetUpPr fitToPage="1"/>
  </sheetPr>
  <dimension ref="A1:U37"/>
  <sheetViews>
    <sheetView showGridLines="0" zoomScale="80" zoomScaleNormal="80" workbookViewId="0">
      <selection activeCell="Q36" sqref="Q36:U36"/>
    </sheetView>
  </sheetViews>
  <sheetFormatPr defaultRowHeight="15" customHeight="1"/>
  <cols>
    <col min="1" max="1" width="3.69140625" style="13" customWidth="1"/>
    <col min="2" max="8" width="16.69140625" style="13" customWidth="1"/>
    <col min="9" max="9" width="2.69140625" style="13" customWidth="1"/>
    <col min="10" max="15" width="10.69140625" style="13" customWidth="1"/>
    <col min="16" max="16" width="2.69140625" style="13" customWidth="1"/>
    <col min="17" max="21" width="12.69140625" style="13" customWidth="1"/>
    <col min="22" max="16384" width="9.23046875" style="13"/>
  </cols>
  <sheetData>
    <row r="1" spans="1:21" ht="24" thickBot="1">
      <c r="A1" s="127" t="s">
        <v>0</v>
      </c>
      <c r="B1" s="128" t="s">
        <v>175</v>
      </c>
      <c r="C1" s="128"/>
      <c r="D1" s="128"/>
      <c r="E1" s="128"/>
      <c r="F1" s="128"/>
      <c r="G1" s="128"/>
      <c r="H1" s="128"/>
      <c r="I1" s="128"/>
      <c r="J1" s="128"/>
      <c r="K1" s="128"/>
      <c r="L1" s="128"/>
      <c r="M1" s="128"/>
      <c r="N1" s="128"/>
      <c r="O1" s="129"/>
      <c r="P1" s="128"/>
      <c r="Q1" s="128"/>
      <c r="R1" s="128"/>
      <c r="S1" s="128"/>
      <c r="T1" s="128"/>
      <c r="U1" s="129" t="str">
        <f>index!$C$7</f>
        <v>Sample Hotel</v>
      </c>
    </row>
    <row r="2" spans="1:21" ht="15" customHeight="1" thickTop="1"/>
    <row r="3" spans="1:21" ht="15" customHeight="1">
      <c r="N3" s="130"/>
      <c r="O3" s="131"/>
      <c r="T3" s="130" t="s">
        <v>197</v>
      </c>
      <c r="U3" s="131">
        <f>DATE(index!$J$7,index!$L$7,index!$N$7)</f>
        <v>44635</v>
      </c>
    </row>
    <row r="4" spans="1:21" ht="14.25">
      <c r="B4"/>
      <c r="C4" s="7" t="s">
        <v>91</v>
      </c>
      <c r="D4"/>
      <c r="E4"/>
      <c r="F4"/>
      <c r="G4"/>
      <c r="H4"/>
      <c r="J4" s="13" t="s">
        <v>180</v>
      </c>
      <c r="Q4" s="13" t="s">
        <v>265</v>
      </c>
    </row>
    <row r="6" spans="1:21" ht="15" customHeight="1">
      <c r="C6" s="132" t="s">
        <v>176</v>
      </c>
      <c r="D6" s="132" t="str">
        <f>'111 LS CS1'!$C4</f>
        <v>ADR 1%改善</v>
      </c>
      <c r="E6" s="132" t="str">
        <f>'112 LS CS2'!$C4</f>
        <v>販売室数 1%改善</v>
      </c>
      <c r="F6" s="132" t="str">
        <f>'113 LS CS3'!$C4</f>
        <v>ADRを100円上げ前年と同GOPのOCC</v>
      </c>
      <c r="G6" s="132" t="str">
        <f>'114 LS CS4'!$C4</f>
        <v>ADRを500円上げ前年と同GOPのOCC</v>
      </c>
      <c r="H6" s="132" t="str">
        <f>'115 LS CS5'!$C4</f>
        <v>Case5</v>
      </c>
      <c r="J6" s="132" t="str">
        <f>C6</f>
        <v>Last Year Actual</v>
      </c>
      <c r="K6" s="132" t="str">
        <f t="shared" ref="K6:O6" si="0">D6</f>
        <v>ADR 1%改善</v>
      </c>
      <c r="L6" s="132" t="str">
        <f t="shared" si="0"/>
        <v>販売室数 1%改善</v>
      </c>
      <c r="M6" s="132" t="str">
        <f t="shared" si="0"/>
        <v>ADRを100円上げ前年と同GOPのOCC</v>
      </c>
      <c r="N6" s="132" t="str">
        <f t="shared" si="0"/>
        <v>ADRを500円上げ前年と同GOPのOCC</v>
      </c>
      <c r="O6" s="132" t="str">
        <f t="shared" si="0"/>
        <v>Case5</v>
      </c>
      <c r="Q6" s="132" t="str">
        <f t="shared" ref="Q6" si="1">K6</f>
        <v>ADR 1%改善</v>
      </c>
      <c r="R6" s="132" t="str">
        <f t="shared" ref="R6" si="2">L6</f>
        <v>販売室数 1%改善</v>
      </c>
      <c r="S6" s="132" t="str">
        <f t="shared" ref="S6" si="3">M6</f>
        <v>ADRを100円上げ前年と同GOPのOCC</v>
      </c>
      <c r="T6" s="132" t="str">
        <f t="shared" ref="T6" si="4">N6</f>
        <v>ADRを500円上げ前年と同GOPのOCC</v>
      </c>
      <c r="U6" s="132" t="str">
        <f t="shared" ref="U6" si="5">O6</f>
        <v>Case5</v>
      </c>
    </row>
    <row r="7" spans="1:21" ht="15" customHeight="1">
      <c r="B7" s="133" t="s">
        <v>259</v>
      </c>
      <c r="C7" s="134">
        <f>'101 LS LY'!$C7</f>
        <v>0.8</v>
      </c>
      <c r="D7" s="134">
        <f>'111 LS CS1'!$C7</f>
        <v>0.8</v>
      </c>
      <c r="E7" s="134">
        <f>'112 LS CS2'!$C7</f>
        <v>0.80801369425786096</v>
      </c>
      <c r="F7" s="134">
        <f>'113 LS CS3'!$C7</f>
        <v>0.78900000000000003</v>
      </c>
      <c r="G7" s="134">
        <f>'114 LS CS4'!$C7</f>
        <v>0.75</v>
      </c>
      <c r="H7" s="134">
        <f>'115 LS CS5'!$C7</f>
        <v>0.8</v>
      </c>
      <c r="J7" s="134"/>
      <c r="K7" s="134"/>
      <c r="L7" s="134"/>
      <c r="M7" s="134"/>
      <c r="N7" s="134"/>
      <c r="O7" s="134"/>
      <c r="Q7" s="155">
        <f>D7-$C7</f>
        <v>0</v>
      </c>
      <c r="R7" s="155">
        <f t="shared" ref="R7:R37" si="6">E7-$C7</f>
        <v>8.0136942578609149E-3</v>
      </c>
      <c r="S7" s="155">
        <f t="shared" ref="S7:S37" si="7">F7-$C7</f>
        <v>-1.100000000000001E-2</v>
      </c>
      <c r="T7" s="155">
        <f t="shared" ref="T7:T37" si="8">G7-$C7</f>
        <v>-5.0000000000000044E-2</v>
      </c>
      <c r="U7" s="155">
        <f t="shared" ref="U7:U37" si="9">H7-$C7</f>
        <v>0</v>
      </c>
    </row>
    <row r="8" spans="1:21" ht="15" customHeight="1">
      <c r="B8" s="133" t="s">
        <v>38</v>
      </c>
      <c r="C8" s="135">
        <f>'101 LS LY'!$C8</f>
        <v>10000</v>
      </c>
      <c r="D8" s="135">
        <f>'111 LS CS1'!$C8</f>
        <v>10100</v>
      </c>
      <c r="E8" s="135">
        <f>'112 LS CS2'!$C8</f>
        <v>10000</v>
      </c>
      <c r="F8" s="135">
        <f>'113 LS CS3'!$C8</f>
        <v>10100</v>
      </c>
      <c r="G8" s="135">
        <f>'114 LS CS4'!$C8</f>
        <v>10500</v>
      </c>
      <c r="H8" s="135">
        <f>'115 LS CS5'!$C8</f>
        <v>10000</v>
      </c>
      <c r="J8" s="135"/>
      <c r="K8" s="135"/>
      <c r="L8" s="135"/>
      <c r="M8" s="135"/>
      <c r="N8" s="135"/>
      <c r="O8" s="135"/>
      <c r="Q8" s="137">
        <f t="shared" ref="Q8:Q37" si="10">D8-$C8</f>
        <v>100</v>
      </c>
      <c r="R8" s="137">
        <f t="shared" si="6"/>
        <v>0</v>
      </c>
      <c r="S8" s="137">
        <f t="shared" si="7"/>
        <v>100</v>
      </c>
      <c r="T8" s="137">
        <f t="shared" si="8"/>
        <v>500</v>
      </c>
      <c r="U8" s="137">
        <f t="shared" si="9"/>
        <v>0</v>
      </c>
    </row>
    <row r="9" spans="1:21" ht="15" customHeight="1">
      <c r="B9" s="136"/>
      <c r="C9" s="135"/>
      <c r="D9" s="135"/>
      <c r="E9" s="135"/>
      <c r="F9" s="135"/>
      <c r="G9" s="135"/>
      <c r="H9" s="135"/>
      <c r="J9" s="135"/>
      <c r="K9" s="135"/>
      <c r="L9" s="135"/>
      <c r="M9" s="135"/>
      <c r="N9" s="135"/>
      <c r="O9" s="135"/>
      <c r="Q9" s="137">
        <f t="shared" si="10"/>
        <v>0</v>
      </c>
      <c r="R9" s="137">
        <f t="shared" si="6"/>
        <v>0</v>
      </c>
      <c r="S9" s="137">
        <f t="shared" si="7"/>
        <v>0</v>
      </c>
      <c r="T9" s="137">
        <f t="shared" si="8"/>
        <v>0</v>
      </c>
      <c r="U9" s="137">
        <f t="shared" si="9"/>
        <v>0</v>
      </c>
    </row>
    <row r="10" spans="1:21" ht="15" customHeight="1">
      <c r="B10" s="136" t="s">
        <v>260</v>
      </c>
      <c r="C10" s="137">
        <f>'101 LS LY'!$C10</f>
        <v>292000000</v>
      </c>
      <c r="D10" s="137">
        <f>'111 LS CS1'!$C10</f>
        <v>294920000</v>
      </c>
      <c r="E10" s="137">
        <f>'112 LS CS2'!$C10</f>
        <v>294920000</v>
      </c>
      <c r="F10" s="137">
        <f>'113 LS CS3'!$C10</f>
        <v>290869900</v>
      </c>
      <c r="G10" s="137">
        <f>'114 LS CS4'!$C10</f>
        <v>287437500</v>
      </c>
      <c r="H10" s="137">
        <f>'115 LS CS5'!$C10</f>
        <v>292000000</v>
      </c>
      <c r="J10" s="137"/>
      <c r="K10" s="137"/>
      <c r="L10" s="137"/>
      <c r="M10" s="137"/>
      <c r="N10" s="137"/>
      <c r="O10" s="137"/>
      <c r="Q10" s="137">
        <f t="shared" si="10"/>
        <v>2920000</v>
      </c>
      <c r="R10" s="137">
        <f t="shared" si="6"/>
        <v>2920000</v>
      </c>
      <c r="S10" s="137">
        <f t="shared" si="7"/>
        <v>-1130100</v>
      </c>
      <c r="T10" s="137">
        <f t="shared" si="8"/>
        <v>-4562500</v>
      </c>
      <c r="U10" s="137">
        <f t="shared" si="9"/>
        <v>0</v>
      </c>
    </row>
    <row r="11" spans="1:21" ht="15" customHeight="1">
      <c r="B11" s="136" t="s">
        <v>261</v>
      </c>
      <c r="C11" s="137">
        <f>'101 LS LY'!$C11</f>
        <v>0</v>
      </c>
      <c r="D11" s="137">
        <f>'111 LS CS1'!$C11</f>
        <v>0</v>
      </c>
      <c r="E11" s="137">
        <f>'112 LS CS2'!$C11</f>
        <v>0</v>
      </c>
      <c r="F11" s="137">
        <f>'113 LS CS3'!$C11</f>
        <v>0</v>
      </c>
      <c r="G11" s="137">
        <f>'114 LS CS4'!$C11</f>
        <v>0</v>
      </c>
      <c r="H11" s="137">
        <f>'115 LS CS5'!$C11</f>
        <v>0</v>
      </c>
      <c r="J11" s="137"/>
      <c r="K11" s="137"/>
      <c r="L11" s="137"/>
      <c r="M11" s="137"/>
      <c r="N11" s="137"/>
      <c r="O11" s="137"/>
      <c r="Q11" s="137">
        <f t="shared" si="10"/>
        <v>0</v>
      </c>
      <c r="R11" s="137">
        <f t="shared" si="6"/>
        <v>0</v>
      </c>
      <c r="S11" s="137">
        <f t="shared" si="7"/>
        <v>0</v>
      </c>
      <c r="T11" s="137">
        <f t="shared" si="8"/>
        <v>0</v>
      </c>
      <c r="U11" s="137">
        <f t="shared" si="9"/>
        <v>0</v>
      </c>
    </row>
    <row r="12" spans="1:21" ht="15" customHeight="1">
      <c r="B12" s="138" t="s">
        <v>262</v>
      </c>
      <c r="C12" s="139">
        <f>'101 LS LY'!$C12</f>
        <v>292000000</v>
      </c>
      <c r="D12" s="139">
        <f>'111 LS CS1'!$C12</f>
        <v>294920000</v>
      </c>
      <c r="E12" s="139">
        <f>'112 LS CS2'!$C12</f>
        <v>294920000</v>
      </c>
      <c r="F12" s="139">
        <f>'113 LS CS3'!$C12</f>
        <v>290869900</v>
      </c>
      <c r="G12" s="139">
        <f>'114 LS CS4'!$C12</f>
        <v>287437500</v>
      </c>
      <c r="H12" s="139">
        <f>'115 LS CS5'!$C12</f>
        <v>292000000</v>
      </c>
      <c r="J12" s="140"/>
      <c r="K12" s="140"/>
      <c r="L12" s="140"/>
      <c r="M12" s="140"/>
      <c r="N12" s="140"/>
      <c r="O12" s="140"/>
      <c r="Q12" s="158">
        <f t="shared" si="10"/>
        <v>2920000</v>
      </c>
      <c r="R12" s="158">
        <f t="shared" si="6"/>
        <v>2920000</v>
      </c>
      <c r="S12" s="158">
        <f t="shared" si="7"/>
        <v>-1130100</v>
      </c>
      <c r="T12" s="158">
        <f t="shared" si="8"/>
        <v>-4562500</v>
      </c>
      <c r="U12" s="158">
        <f t="shared" si="9"/>
        <v>0</v>
      </c>
    </row>
    <row r="13" spans="1:21" ht="15" customHeight="1">
      <c r="Q13" s="156"/>
      <c r="R13" s="156"/>
      <c r="S13" s="156"/>
      <c r="T13" s="156"/>
      <c r="U13" s="156"/>
    </row>
    <row r="14" spans="1:21" ht="15" customHeight="1">
      <c r="B14" s="136" t="s">
        <v>13</v>
      </c>
      <c r="C14" s="135">
        <f>'101 LS LY'!$C15</f>
        <v>36500000</v>
      </c>
      <c r="D14" s="135">
        <f>'111 LS CS1'!$C15</f>
        <v>36500000</v>
      </c>
      <c r="E14" s="135">
        <f>'112 LS CS2'!$C15</f>
        <v>36500000</v>
      </c>
      <c r="F14" s="135">
        <f>'113 LS CS3'!$C15</f>
        <v>36500000</v>
      </c>
      <c r="G14" s="135">
        <f>'114 LS CS4'!$C15</f>
        <v>36500000</v>
      </c>
      <c r="H14" s="135">
        <f>'115 LS CS5'!$C15</f>
        <v>36500000</v>
      </c>
      <c r="J14" s="134">
        <f>'101 LS LY'!$D15</f>
        <v>0.125</v>
      </c>
      <c r="K14" s="134">
        <f>'111 LS CS1'!$D15</f>
        <v>0.12376237623762376</v>
      </c>
      <c r="L14" s="134">
        <f>'112 LS CS2'!$D15</f>
        <v>0.12376237623762376</v>
      </c>
      <c r="M14" s="134">
        <f>'113 LS CS3'!$D15</f>
        <v>0.125485655270621</v>
      </c>
      <c r="N14" s="134">
        <f>'114 LS CS4'!$D15</f>
        <v>0.12698412698412698</v>
      </c>
      <c r="O14" s="134">
        <f>'115 LS CS5'!$D15</f>
        <v>0.125</v>
      </c>
      <c r="Q14" s="137">
        <f t="shared" si="10"/>
        <v>0</v>
      </c>
      <c r="R14" s="137">
        <f t="shared" si="6"/>
        <v>0</v>
      </c>
      <c r="S14" s="137">
        <f t="shared" si="7"/>
        <v>0</v>
      </c>
      <c r="T14" s="137">
        <f t="shared" si="8"/>
        <v>0</v>
      </c>
      <c r="U14" s="137">
        <f t="shared" si="9"/>
        <v>0</v>
      </c>
    </row>
    <row r="15" spans="1:21" ht="15" customHeight="1">
      <c r="B15" s="143" t="s">
        <v>88</v>
      </c>
      <c r="C15" s="144">
        <f>'101 LS LY'!$C16</f>
        <v>20000000</v>
      </c>
      <c r="D15" s="144">
        <f>'111 LS CS1'!$C16</f>
        <v>20000000</v>
      </c>
      <c r="E15" s="144">
        <f>'112 LS CS2'!$C16</f>
        <v>20000000</v>
      </c>
      <c r="F15" s="144">
        <f>'113 LS CS3'!$C16</f>
        <v>20000000</v>
      </c>
      <c r="G15" s="144">
        <f>'114 LS CS4'!$C16</f>
        <v>20000000</v>
      </c>
      <c r="H15" s="144">
        <f>'115 LS CS5'!$C16</f>
        <v>20000000</v>
      </c>
      <c r="J15" s="145">
        <f>'101 LS LY'!$D16</f>
        <v>6.8493150684931503E-2</v>
      </c>
      <c r="K15" s="145">
        <f>'111 LS CS1'!$D16</f>
        <v>6.7815000678150009E-2</v>
      </c>
      <c r="L15" s="145">
        <f>'112 LS CS2'!$D16</f>
        <v>6.7815000678150009E-2</v>
      </c>
      <c r="M15" s="145">
        <f>'113 LS CS3'!$D16</f>
        <v>6.8759263161984108E-2</v>
      </c>
      <c r="N15" s="145">
        <f>'114 LS CS4'!$D16</f>
        <v>6.9580343552946289E-2</v>
      </c>
      <c r="O15" s="145">
        <f>'115 LS CS5'!$D16</f>
        <v>6.8493150684931503E-2</v>
      </c>
      <c r="Q15" s="144">
        <f t="shared" si="10"/>
        <v>0</v>
      </c>
      <c r="R15" s="144">
        <f t="shared" si="6"/>
        <v>0</v>
      </c>
      <c r="S15" s="144">
        <f t="shared" si="7"/>
        <v>0</v>
      </c>
      <c r="T15" s="144">
        <f t="shared" si="8"/>
        <v>0</v>
      </c>
      <c r="U15" s="144">
        <f t="shared" si="9"/>
        <v>0</v>
      </c>
    </row>
    <row r="16" spans="1:21" ht="15" customHeight="1">
      <c r="B16" s="143" t="s">
        <v>89</v>
      </c>
      <c r="C16" s="144">
        <f>'101 LS LY'!$C17</f>
        <v>3500000</v>
      </c>
      <c r="D16" s="144">
        <f>'111 LS CS1'!$C17</f>
        <v>3500000</v>
      </c>
      <c r="E16" s="144">
        <f>'112 LS CS2'!$C17</f>
        <v>3500000</v>
      </c>
      <c r="F16" s="144">
        <f>'113 LS CS3'!$C17</f>
        <v>3500000</v>
      </c>
      <c r="G16" s="144">
        <f>'114 LS CS4'!$C17</f>
        <v>3500000</v>
      </c>
      <c r="H16" s="144">
        <f>'115 LS CS5'!$C17</f>
        <v>3500000</v>
      </c>
      <c r="J16" s="145">
        <f>'101 LS LY'!$D17</f>
        <v>1.1986301369863013E-2</v>
      </c>
      <c r="K16" s="145">
        <f>'111 LS CS1'!$D17</f>
        <v>1.1867625118676251E-2</v>
      </c>
      <c r="L16" s="145">
        <f>'112 LS CS2'!$D17</f>
        <v>1.1867625118676251E-2</v>
      </c>
      <c r="M16" s="145">
        <f>'113 LS CS3'!$D17</f>
        <v>1.2032871053347218E-2</v>
      </c>
      <c r="N16" s="145">
        <f>'114 LS CS4'!$D17</f>
        <v>1.2176560121765601E-2</v>
      </c>
      <c r="O16" s="145">
        <f>'115 LS CS5'!$D17</f>
        <v>1.1986301369863013E-2</v>
      </c>
      <c r="Q16" s="144">
        <f t="shared" si="10"/>
        <v>0</v>
      </c>
      <c r="R16" s="144">
        <f t="shared" si="6"/>
        <v>0</v>
      </c>
      <c r="S16" s="144">
        <f t="shared" si="7"/>
        <v>0</v>
      </c>
      <c r="T16" s="144">
        <f t="shared" si="8"/>
        <v>0</v>
      </c>
      <c r="U16" s="144">
        <f t="shared" si="9"/>
        <v>0</v>
      </c>
    </row>
    <row r="17" spans="2:21" ht="15" customHeight="1">
      <c r="B17" s="143" t="s">
        <v>90</v>
      </c>
      <c r="C17" s="144">
        <f>'101 LS LY'!$C18</f>
        <v>10000000</v>
      </c>
      <c r="D17" s="144">
        <f>'111 LS CS1'!$C18</f>
        <v>10000000</v>
      </c>
      <c r="E17" s="144">
        <f>'112 LS CS2'!$C18</f>
        <v>10000000</v>
      </c>
      <c r="F17" s="144">
        <f>'113 LS CS3'!$C18</f>
        <v>10000000</v>
      </c>
      <c r="G17" s="144">
        <f>'114 LS CS4'!$C18</f>
        <v>10000000</v>
      </c>
      <c r="H17" s="144">
        <f>'115 LS CS5'!$C18</f>
        <v>10000000</v>
      </c>
      <c r="J17" s="145">
        <f>'101 LS LY'!$D18</f>
        <v>3.4246575342465752E-2</v>
      </c>
      <c r="K17" s="145">
        <f>'111 LS CS1'!$D18</f>
        <v>3.3907500339075004E-2</v>
      </c>
      <c r="L17" s="145">
        <f>'112 LS CS2'!$D18</f>
        <v>3.3907500339075004E-2</v>
      </c>
      <c r="M17" s="145">
        <f>'113 LS CS3'!$D18</f>
        <v>3.4379631580992054E-2</v>
      </c>
      <c r="N17" s="145">
        <f>'114 LS CS4'!$D18</f>
        <v>3.4790171776473144E-2</v>
      </c>
      <c r="O17" s="145">
        <f>'115 LS CS5'!$D18</f>
        <v>3.4246575342465752E-2</v>
      </c>
      <c r="Q17" s="144">
        <f t="shared" si="10"/>
        <v>0</v>
      </c>
      <c r="R17" s="144">
        <f t="shared" si="6"/>
        <v>0</v>
      </c>
      <c r="S17" s="144">
        <f t="shared" si="7"/>
        <v>0</v>
      </c>
      <c r="T17" s="144">
        <f t="shared" si="8"/>
        <v>0</v>
      </c>
      <c r="U17" s="144">
        <f t="shared" si="9"/>
        <v>0</v>
      </c>
    </row>
    <row r="18" spans="2:21" ht="15" customHeight="1">
      <c r="B18" s="143" t="s">
        <v>96</v>
      </c>
      <c r="C18" s="144">
        <f>'101 LS LY'!$C19</f>
        <v>3000000</v>
      </c>
      <c r="D18" s="144">
        <f>'111 LS CS1'!$C19</f>
        <v>3000000</v>
      </c>
      <c r="E18" s="144">
        <f>'112 LS CS2'!$C19</f>
        <v>3000000</v>
      </c>
      <c r="F18" s="144">
        <f>'113 LS CS3'!$C19</f>
        <v>3000000</v>
      </c>
      <c r="G18" s="144">
        <f>'114 LS CS4'!$C19</f>
        <v>3000000</v>
      </c>
      <c r="H18" s="144">
        <f>'115 LS CS5'!$C19</f>
        <v>3000000</v>
      </c>
      <c r="J18" s="145">
        <f>'101 LS LY'!$D19</f>
        <v>1.0273972602739725E-2</v>
      </c>
      <c r="K18" s="145">
        <f>'111 LS CS1'!$D19</f>
        <v>1.0172250101722501E-2</v>
      </c>
      <c r="L18" s="145">
        <f>'112 LS CS2'!$D19</f>
        <v>1.0172250101722501E-2</v>
      </c>
      <c r="M18" s="145">
        <f>'113 LS CS3'!$D19</f>
        <v>1.0313889474297615E-2</v>
      </c>
      <c r="N18" s="145">
        <f>'114 LS CS4'!$D19</f>
        <v>1.0437051532941943E-2</v>
      </c>
      <c r="O18" s="145">
        <f>'115 LS CS5'!$D19</f>
        <v>1.0273972602739725E-2</v>
      </c>
      <c r="Q18" s="144">
        <f t="shared" si="10"/>
        <v>0</v>
      </c>
      <c r="R18" s="144">
        <f t="shared" si="6"/>
        <v>0</v>
      </c>
      <c r="S18" s="144">
        <f t="shared" si="7"/>
        <v>0</v>
      </c>
      <c r="T18" s="144">
        <f t="shared" si="8"/>
        <v>0</v>
      </c>
      <c r="U18" s="144">
        <f t="shared" si="9"/>
        <v>0</v>
      </c>
    </row>
    <row r="19" spans="2:21" ht="15" customHeight="1">
      <c r="B19" s="136" t="s">
        <v>93</v>
      </c>
      <c r="C19" s="135">
        <f>'101 LS LY'!$C20</f>
        <v>109480000</v>
      </c>
      <c r="D19" s="135">
        <f>'111 LS CS1'!$C20</f>
        <v>109850400</v>
      </c>
      <c r="E19" s="135">
        <f>'112 LS CS2'!$C20</f>
        <v>110565508</v>
      </c>
      <c r="F19" s="135">
        <f>'113 LS CS3'!$C20</f>
        <v>108341838</v>
      </c>
      <c r="G19" s="135">
        <f>'114 LS CS4'!$C20</f>
        <v>104408250</v>
      </c>
      <c r="H19" s="135">
        <f>'115 LS CS5'!$C20</f>
        <v>109470800</v>
      </c>
      <c r="J19" s="134">
        <f>'101 LS LY'!$D20</f>
        <v>0.37493150684931509</v>
      </c>
      <c r="K19" s="134">
        <f>'111 LS CS1'!$D20</f>
        <v>0.37247524752475247</v>
      </c>
      <c r="L19" s="134">
        <f>'112 LS CS2'!$D20</f>
        <v>0.37490000000000001</v>
      </c>
      <c r="M19" s="134">
        <f>'113 LS CS3'!$D20</f>
        <v>0.37247524752475247</v>
      </c>
      <c r="N19" s="134">
        <f>'114 LS CS4'!$D20</f>
        <v>0.36323809523809525</v>
      </c>
      <c r="O19" s="134">
        <f>'115 LS CS5'!$D20</f>
        <v>0.37490000000000001</v>
      </c>
      <c r="Q19" s="137">
        <f t="shared" si="10"/>
        <v>370400</v>
      </c>
      <c r="R19" s="137">
        <f t="shared" si="6"/>
        <v>1085508</v>
      </c>
      <c r="S19" s="137">
        <f t="shared" si="7"/>
        <v>-1138162</v>
      </c>
      <c r="T19" s="137">
        <f t="shared" si="8"/>
        <v>-5071750</v>
      </c>
      <c r="U19" s="137">
        <f t="shared" si="9"/>
        <v>-9200</v>
      </c>
    </row>
    <row r="20" spans="2:21" ht="15" customHeight="1">
      <c r="B20" s="146" t="s">
        <v>99</v>
      </c>
      <c r="C20" s="147">
        <f>'101 LS LY'!$C21</f>
        <v>13000000</v>
      </c>
      <c r="D20" s="147">
        <f>'111 LS CS1'!$C21</f>
        <v>12994000</v>
      </c>
      <c r="E20" s="147">
        <f>'112 LS CS2'!$C21</f>
        <v>13123940</v>
      </c>
      <c r="F20" s="147">
        <f>'113 LS CS3'!$C21</f>
        <v>12815555</v>
      </c>
      <c r="G20" s="147">
        <f>'114 LS CS4'!$C21</f>
        <v>12181875</v>
      </c>
      <c r="H20" s="147">
        <f>'115 LS CS5'!$C21</f>
        <v>12994000</v>
      </c>
      <c r="J20" s="148">
        <f>'101 LS LY'!$D21</f>
        <v>4.4520547945205477E-2</v>
      </c>
      <c r="K20" s="148">
        <f>'111 LS CS1'!$D21</f>
        <v>4.4059405940594057E-2</v>
      </c>
      <c r="L20" s="148">
        <f>'112 LS CS2'!$D21</f>
        <v>4.4499999999999998E-2</v>
      </c>
      <c r="M20" s="148">
        <f>'113 LS CS3'!$D21</f>
        <v>4.4059405940594057E-2</v>
      </c>
      <c r="N20" s="148">
        <f>'114 LS CS4'!$D21</f>
        <v>4.238095238095238E-2</v>
      </c>
      <c r="O20" s="148">
        <f>'115 LS CS5'!$D21</f>
        <v>4.4499999999999998E-2</v>
      </c>
      <c r="Q20" s="147">
        <f t="shared" si="10"/>
        <v>-6000</v>
      </c>
      <c r="R20" s="147">
        <f t="shared" si="6"/>
        <v>123940</v>
      </c>
      <c r="S20" s="147">
        <f t="shared" si="7"/>
        <v>-184445</v>
      </c>
      <c r="T20" s="147">
        <f t="shared" si="8"/>
        <v>-818125</v>
      </c>
      <c r="U20" s="147">
        <f t="shared" si="9"/>
        <v>-6000</v>
      </c>
    </row>
    <row r="21" spans="2:21" ht="15" customHeight="1">
      <c r="B21" s="146" t="s">
        <v>100</v>
      </c>
      <c r="C21" s="147">
        <f>'101 LS LY'!$C22</f>
        <v>17000000</v>
      </c>
      <c r="D21" s="147">
        <f>'111 LS CS1'!$C22</f>
        <v>16994400</v>
      </c>
      <c r="E21" s="147">
        <f>'112 LS CS2'!$C22</f>
        <v>17164344</v>
      </c>
      <c r="F21" s="147">
        <f>'113 LS CS3'!$C22</f>
        <v>16761018</v>
      </c>
      <c r="G21" s="147">
        <f>'114 LS CS4'!$C22</f>
        <v>15932250</v>
      </c>
      <c r="H21" s="147">
        <f>'115 LS CS5'!$C22</f>
        <v>16994400</v>
      </c>
      <c r="J21" s="148">
        <f>'101 LS LY'!$D22</f>
        <v>5.8219178082191778E-2</v>
      </c>
      <c r="K21" s="148">
        <f>'111 LS CS1'!$D22</f>
        <v>5.7623762376237626E-2</v>
      </c>
      <c r="L21" s="148">
        <f>'112 LS CS2'!$D22</f>
        <v>5.8200000000000002E-2</v>
      </c>
      <c r="M21" s="148">
        <f>'113 LS CS3'!$D22</f>
        <v>5.7623762376237626E-2</v>
      </c>
      <c r="N21" s="148">
        <f>'114 LS CS4'!$D22</f>
        <v>5.5428571428571431E-2</v>
      </c>
      <c r="O21" s="148">
        <f>'115 LS CS5'!$D22</f>
        <v>5.8200000000000002E-2</v>
      </c>
      <c r="Q21" s="147">
        <f t="shared" si="10"/>
        <v>-5600</v>
      </c>
      <c r="R21" s="147">
        <f t="shared" si="6"/>
        <v>164344</v>
      </c>
      <c r="S21" s="147">
        <f t="shared" si="7"/>
        <v>-238982</v>
      </c>
      <c r="T21" s="147">
        <f t="shared" si="8"/>
        <v>-1067750</v>
      </c>
      <c r="U21" s="147">
        <f t="shared" si="9"/>
        <v>-5600</v>
      </c>
    </row>
    <row r="22" spans="2:21" ht="15" customHeight="1">
      <c r="B22" s="146" t="s">
        <v>101</v>
      </c>
      <c r="C22" s="147">
        <f>'101 LS LY'!$C23</f>
        <v>24000000</v>
      </c>
      <c r="D22" s="147">
        <f>'111 LS CS1'!$C23</f>
        <v>24002400</v>
      </c>
      <c r="E22" s="147">
        <f>'112 LS CS2'!$C23</f>
        <v>24242424</v>
      </c>
      <c r="F22" s="147">
        <f>'113 LS CS3'!$C23</f>
        <v>23672778</v>
      </c>
      <c r="G22" s="147">
        <f>'114 LS CS4'!$C23</f>
        <v>22502250</v>
      </c>
      <c r="H22" s="147">
        <f>'115 LS CS5'!$C23</f>
        <v>24002400</v>
      </c>
      <c r="J22" s="148">
        <f>'101 LS LY'!$D23</f>
        <v>8.2191780821917804E-2</v>
      </c>
      <c r="K22" s="148">
        <f>'111 LS CS1'!$D23</f>
        <v>8.1386138613861389E-2</v>
      </c>
      <c r="L22" s="148">
        <f>'112 LS CS2'!$D23</f>
        <v>8.2199999999999995E-2</v>
      </c>
      <c r="M22" s="148">
        <f>'113 LS CS3'!$D23</f>
        <v>8.1386138613861389E-2</v>
      </c>
      <c r="N22" s="148">
        <f>'114 LS CS4'!$D23</f>
        <v>7.8285714285714292E-2</v>
      </c>
      <c r="O22" s="148">
        <f>'115 LS CS5'!$D23</f>
        <v>8.2199999999999995E-2</v>
      </c>
      <c r="Q22" s="147">
        <f t="shared" si="10"/>
        <v>2400</v>
      </c>
      <c r="R22" s="147">
        <f t="shared" si="6"/>
        <v>242424</v>
      </c>
      <c r="S22" s="147">
        <f t="shared" si="7"/>
        <v>-327222</v>
      </c>
      <c r="T22" s="147">
        <f t="shared" si="8"/>
        <v>-1497750</v>
      </c>
      <c r="U22" s="147">
        <f t="shared" si="9"/>
        <v>2400</v>
      </c>
    </row>
    <row r="23" spans="2:21" ht="15" customHeight="1">
      <c r="B23" s="146" t="s">
        <v>102</v>
      </c>
      <c r="C23" s="147">
        <f>'101 LS LY'!$C24</f>
        <v>32120000</v>
      </c>
      <c r="D23" s="147">
        <f>'111 LS CS1'!$C24</f>
        <v>32441200</v>
      </c>
      <c r="E23" s="147">
        <f>'112 LS CS2'!$C24</f>
        <v>32441200</v>
      </c>
      <c r="F23" s="147">
        <f>'113 LS CS3'!$C24</f>
        <v>31995689</v>
      </c>
      <c r="G23" s="147">
        <f>'114 LS CS4'!$C24</f>
        <v>31618125</v>
      </c>
      <c r="H23" s="147">
        <f>'115 LS CS5'!$C24</f>
        <v>32120000</v>
      </c>
      <c r="J23" s="148">
        <f>'101 LS LY'!$D24</f>
        <v>0.11</v>
      </c>
      <c r="K23" s="148">
        <f>'111 LS CS1'!$D24</f>
        <v>0.11</v>
      </c>
      <c r="L23" s="148">
        <f>'112 LS CS2'!$D24</f>
        <v>0.11</v>
      </c>
      <c r="M23" s="148">
        <f>'113 LS CS3'!$D24</f>
        <v>0.11</v>
      </c>
      <c r="N23" s="148">
        <f>'114 LS CS4'!$D24</f>
        <v>0.11</v>
      </c>
      <c r="O23" s="148">
        <f>'115 LS CS5'!$D24</f>
        <v>0.11</v>
      </c>
      <c r="Q23" s="147">
        <f t="shared" si="10"/>
        <v>321200</v>
      </c>
      <c r="R23" s="147">
        <f t="shared" si="6"/>
        <v>321200</v>
      </c>
      <c r="S23" s="147">
        <f t="shared" si="7"/>
        <v>-124311</v>
      </c>
      <c r="T23" s="147">
        <f t="shared" si="8"/>
        <v>-501875</v>
      </c>
      <c r="U23" s="147">
        <f t="shared" si="9"/>
        <v>0</v>
      </c>
    </row>
    <row r="24" spans="2:21" ht="15" customHeight="1">
      <c r="B24" s="143" t="s">
        <v>103</v>
      </c>
      <c r="C24" s="144">
        <f>'101 LS LY'!$C25</f>
        <v>17520000</v>
      </c>
      <c r="D24" s="144">
        <f>'111 LS CS1'!$C25</f>
        <v>17520000</v>
      </c>
      <c r="E24" s="144">
        <f>'112 LS CS2'!$C25</f>
        <v>17695200</v>
      </c>
      <c r="F24" s="144">
        <f>'113 LS CS3'!$C25</f>
        <v>17279400</v>
      </c>
      <c r="G24" s="144">
        <f>'114 LS CS4'!$C25</f>
        <v>16425000</v>
      </c>
      <c r="H24" s="144">
        <f>'115 LS CS5'!$C25</f>
        <v>17520000</v>
      </c>
      <c r="J24" s="145">
        <f>'101 LS LY'!$D25</f>
        <v>0.06</v>
      </c>
      <c r="K24" s="145">
        <f>'111 LS CS1'!$D25</f>
        <v>5.9405940594059403E-2</v>
      </c>
      <c r="L24" s="145">
        <f>'112 LS CS2'!$D25</f>
        <v>0.06</v>
      </c>
      <c r="M24" s="145">
        <f>'113 LS CS3'!$D25</f>
        <v>5.9405940594059403E-2</v>
      </c>
      <c r="N24" s="145">
        <f>'114 LS CS4'!$D25</f>
        <v>5.7142857142857141E-2</v>
      </c>
      <c r="O24" s="145">
        <f>'115 LS CS5'!$D25</f>
        <v>0.06</v>
      </c>
      <c r="Q24" s="144">
        <f t="shared" si="10"/>
        <v>0</v>
      </c>
      <c r="R24" s="144">
        <f t="shared" si="6"/>
        <v>175200</v>
      </c>
      <c r="S24" s="144">
        <f t="shared" si="7"/>
        <v>-240600</v>
      </c>
      <c r="T24" s="144">
        <f t="shared" si="8"/>
        <v>-1095000</v>
      </c>
      <c r="U24" s="144">
        <f t="shared" si="9"/>
        <v>0</v>
      </c>
    </row>
    <row r="25" spans="2:21" ht="15" customHeight="1">
      <c r="B25" s="143" t="s">
        <v>104</v>
      </c>
      <c r="C25" s="144">
        <f>'101 LS LY'!$C26</f>
        <v>2920000</v>
      </c>
      <c r="D25" s="144">
        <f>'111 LS CS1'!$C26</f>
        <v>2949200</v>
      </c>
      <c r="E25" s="144">
        <f>'112 LS CS2'!$C26</f>
        <v>2949200</v>
      </c>
      <c r="F25" s="144">
        <f>'113 LS CS3'!$C26</f>
        <v>2908699</v>
      </c>
      <c r="G25" s="144">
        <f>'114 LS CS4'!$C26</f>
        <v>2874375</v>
      </c>
      <c r="H25" s="144">
        <f>'115 LS CS5'!$C26</f>
        <v>2920000</v>
      </c>
      <c r="J25" s="145">
        <f>'101 LS LY'!$D26</f>
        <v>0.01</v>
      </c>
      <c r="K25" s="145">
        <f>'111 LS CS1'!$D26</f>
        <v>0.01</v>
      </c>
      <c r="L25" s="145">
        <f>'112 LS CS2'!$D26</f>
        <v>0.01</v>
      </c>
      <c r="M25" s="145">
        <f>'113 LS CS3'!$D26</f>
        <v>0.01</v>
      </c>
      <c r="N25" s="145">
        <f>'114 LS CS4'!$D26</f>
        <v>0.01</v>
      </c>
      <c r="O25" s="145">
        <f>'115 LS CS5'!$D26</f>
        <v>0.01</v>
      </c>
      <c r="Q25" s="144">
        <f t="shared" si="10"/>
        <v>29200</v>
      </c>
      <c r="R25" s="144">
        <f t="shared" si="6"/>
        <v>29200</v>
      </c>
      <c r="S25" s="144">
        <f t="shared" si="7"/>
        <v>-11301</v>
      </c>
      <c r="T25" s="144">
        <f t="shared" si="8"/>
        <v>-45625</v>
      </c>
      <c r="U25" s="144">
        <f t="shared" si="9"/>
        <v>0</v>
      </c>
    </row>
    <row r="26" spans="2:21" ht="15" customHeight="1">
      <c r="B26" s="143" t="s">
        <v>105</v>
      </c>
      <c r="C26" s="144">
        <f>'101 LS LY'!$C27</f>
        <v>2920000</v>
      </c>
      <c r="D26" s="144">
        <f>'111 LS CS1'!$C27</f>
        <v>2949200</v>
      </c>
      <c r="E26" s="144">
        <f>'112 LS CS2'!$C27</f>
        <v>2949200</v>
      </c>
      <c r="F26" s="144">
        <f>'113 LS CS3'!$C27</f>
        <v>2908699</v>
      </c>
      <c r="G26" s="144">
        <f>'114 LS CS4'!$C27</f>
        <v>2874375</v>
      </c>
      <c r="H26" s="144">
        <f>'115 LS CS5'!$C27</f>
        <v>2920000</v>
      </c>
      <c r="J26" s="145">
        <f>'101 LS LY'!$D27</f>
        <v>0.01</v>
      </c>
      <c r="K26" s="145">
        <f>'111 LS CS1'!$D27</f>
        <v>0.01</v>
      </c>
      <c r="L26" s="145">
        <f>'112 LS CS2'!$D27</f>
        <v>0.01</v>
      </c>
      <c r="M26" s="145">
        <f>'113 LS CS3'!$D27</f>
        <v>0.01</v>
      </c>
      <c r="N26" s="145">
        <f>'114 LS CS4'!$D27</f>
        <v>0.01</v>
      </c>
      <c r="O26" s="145">
        <f>'115 LS CS5'!$D27</f>
        <v>0.01</v>
      </c>
      <c r="Q26" s="144">
        <f t="shared" si="10"/>
        <v>29200</v>
      </c>
      <c r="R26" s="144">
        <f t="shared" si="6"/>
        <v>29200</v>
      </c>
      <c r="S26" s="144">
        <f t="shared" si="7"/>
        <v>-11301</v>
      </c>
      <c r="T26" s="144">
        <f t="shared" si="8"/>
        <v>-45625</v>
      </c>
      <c r="U26" s="144">
        <f t="shared" si="9"/>
        <v>0</v>
      </c>
    </row>
    <row r="27" spans="2:21" ht="15" customHeight="1">
      <c r="B27" s="136"/>
      <c r="C27" s="136"/>
      <c r="D27" s="136"/>
      <c r="E27" s="136"/>
      <c r="F27" s="136"/>
      <c r="G27" s="136"/>
      <c r="H27" s="136"/>
      <c r="J27" s="136"/>
      <c r="K27" s="136"/>
      <c r="L27" s="136"/>
      <c r="M27" s="136"/>
      <c r="N27" s="136"/>
      <c r="O27" s="136"/>
      <c r="Q27" s="157"/>
      <c r="R27" s="157"/>
      <c r="S27" s="157"/>
      <c r="T27" s="157"/>
      <c r="U27" s="157"/>
    </row>
    <row r="28" spans="2:21" ht="15" customHeight="1">
      <c r="B28" s="138" t="s">
        <v>112</v>
      </c>
      <c r="C28" s="139">
        <f>'101 LS LY'!$C29</f>
        <v>146020000</v>
      </c>
      <c r="D28" s="139">
        <f>'111 LS CS1'!$C29</f>
        <v>148569600</v>
      </c>
      <c r="E28" s="139">
        <f>'112 LS CS2'!$C29</f>
        <v>147854492</v>
      </c>
      <c r="F28" s="139">
        <f>'113 LS CS3'!$C29</f>
        <v>146028062</v>
      </c>
      <c r="G28" s="139">
        <f>'114 LS CS4'!$C29</f>
        <v>146529250</v>
      </c>
      <c r="H28" s="139">
        <f>'115 LS CS5'!$C29</f>
        <v>146029200</v>
      </c>
      <c r="J28" s="149">
        <f>'101 LS LY'!$D29</f>
        <v>0.50006849315068491</v>
      </c>
      <c r="K28" s="149">
        <f>'111 LS CS1'!$D29</f>
        <v>0.50376237623762377</v>
      </c>
      <c r="L28" s="149">
        <f>'112 LS CS2'!$D29</f>
        <v>0.50133762376237623</v>
      </c>
      <c r="M28" s="149">
        <f>'113 LS CS3'!$D29</f>
        <v>0.50203909720462658</v>
      </c>
      <c r="N28" s="149">
        <f>'114 LS CS4'!$D29</f>
        <v>0.50977777777777777</v>
      </c>
      <c r="O28" s="149">
        <f>'115 LS CS5'!$D29</f>
        <v>0.50009999999999999</v>
      </c>
      <c r="Q28" s="158">
        <f t="shared" si="10"/>
        <v>2549600</v>
      </c>
      <c r="R28" s="158">
        <f t="shared" si="6"/>
        <v>1834492</v>
      </c>
      <c r="S28" s="158">
        <f t="shared" si="7"/>
        <v>8062</v>
      </c>
      <c r="T28" s="158">
        <f t="shared" si="8"/>
        <v>509250</v>
      </c>
      <c r="U28" s="158">
        <f t="shared" si="9"/>
        <v>9200</v>
      </c>
    </row>
    <row r="29" spans="2:21" ht="15" customHeight="1">
      <c r="B29" s="141"/>
      <c r="C29" s="142"/>
      <c r="D29" s="142"/>
      <c r="E29" s="142"/>
      <c r="F29" s="142"/>
      <c r="G29" s="142"/>
      <c r="H29" s="142"/>
      <c r="Q29" s="142"/>
      <c r="R29" s="142"/>
      <c r="S29" s="142"/>
      <c r="T29" s="142"/>
      <c r="U29" s="142"/>
    </row>
    <row r="30" spans="2:21" ht="15" customHeight="1">
      <c r="B30" s="136" t="s">
        <v>113</v>
      </c>
      <c r="C30" s="135">
        <f>'101 LS LY'!$C31</f>
        <v>0</v>
      </c>
      <c r="D30" s="135">
        <f>'111 LS CS1'!$C31</f>
        <v>0</v>
      </c>
      <c r="E30" s="135">
        <f>'112 LS CS2'!$C31</f>
        <v>0</v>
      </c>
      <c r="F30" s="135">
        <f>'113 LS CS3'!$C31</f>
        <v>0</v>
      </c>
      <c r="G30" s="135">
        <f>'114 LS CS4'!$C31</f>
        <v>0</v>
      </c>
      <c r="H30" s="135">
        <f>'115 LS CS5'!$C31</f>
        <v>0</v>
      </c>
      <c r="J30" s="150">
        <f>'101 LS LY'!$D31</f>
        <v>0</v>
      </c>
      <c r="K30" s="150">
        <f>'111 LS CS1'!$D31</f>
        <v>0</v>
      </c>
      <c r="L30" s="150">
        <f>'112 LS CS2'!$D31</f>
        <v>0</v>
      </c>
      <c r="M30" s="150">
        <f>'113 LS CS3'!$D31</f>
        <v>0</v>
      </c>
      <c r="N30" s="150">
        <f>'114 LS CS4'!$D31</f>
        <v>0</v>
      </c>
      <c r="O30" s="150">
        <f>'115 LS CS5'!$D31</f>
        <v>0</v>
      </c>
      <c r="Q30" s="137">
        <f t="shared" si="10"/>
        <v>0</v>
      </c>
      <c r="R30" s="137">
        <f t="shared" si="6"/>
        <v>0</v>
      </c>
      <c r="S30" s="137">
        <f t="shared" si="7"/>
        <v>0</v>
      </c>
      <c r="T30" s="137">
        <f t="shared" si="8"/>
        <v>0</v>
      </c>
      <c r="U30" s="137">
        <f t="shared" si="9"/>
        <v>0</v>
      </c>
    </row>
    <row r="31" spans="2:21" ht="15" customHeight="1">
      <c r="B31" s="136" t="s">
        <v>114</v>
      </c>
      <c r="C31" s="135">
        <f>'101 LS LY'!$C32</f>
        <v>0</v>
      </c>
      <c r="D31" s="135">
        <f>'111 LS CS1'!$C32</f>
        <v>0</v>
      </c>
      <c r="E31" s="135">
        <f>'112 LS CS2'!$C32</f>
        <v>0</v>
      </c>
      <c r="F31" s="135">
        <f>'113 LS CS3'!$C32</f>
        <v>0</v>
      </c>
      <c r="G31" s="135">
        <f>'114 LS CS4'!$C32</f>
        <v>0</v>
      </c>
      <c r="H31" s="135">
        <f>'115 LS CS5'!$C32</f>
        <v>0</v>
      </c>
      <c r="J31" s="150">
        <f>'101 LS LY'!$D32</f>
        <v>0</v>
      </c>
      <c r="K31" s="150">
        <f>'111 LS CS1'!$D32</f>
        <v>0</v>
      </c>
      <c r="L31" s="150">
        <f>'112 LS CS2'!$D32</f>
        <v>0</v>
      </c>
      <c r="M31" s="150">
        <f>'113 LS CS3'!$D32</f>
        <v>0</v>
      </c>
      <c r="N31" s="150">
        <f>'114 LS CS4'!$D32</f>
        <v>0</v>
      </c>
      <c r="O31" s="150">
        <f>'115 LS CS5'!$D32</f>
        <v>0</v>
      </c>
      <c r="Q31" s="137">
        <f t="shared" si="10"/>
        <v>0</v>
      </c>
      <c r="R31" s="137">
        <f t="shared" si="6"/>
        <v>0</v>
      </c>
      <c r="S31" s="137">
        <f t="shared" si="7"/>
        <v>0</v>
      </c>
      <c r="T31" s="137">
        <f t="shared" si="8"/>
        <v>0</v>
      </c>
      <c r="U31" s="137">
        <f t="shared" si="9"/>
        <v>0</v>
      </c>
    </row>
    <row r="32" spans="2:21" ht="15" customHeight="1">
      <c r="B32" s="136" t="s">
        <v>115</v>
      </c>
      <c r="C32" s="135">
        <f>'101 LS LY'!$C33</f>
        <v>0</v>
      </c>
      <c r="D32" s="135">
        <f>'111 LS CS1'!$C33</f>
        <v>0</v>
      </c>
      <c r="E32" s="135">
        <f>'112 LS CS2'!$C33</f>
        <v>0</v>
      </c>
      <c r="F32" s="135">
        <f>'113 LS CS3'!$C33</f>
        <v>0</v>
      </c>
      <c r="G32" s="135">
        <f>'114 LS CS4'!$C33</f>
        <v>0</v>
      </c>
      <c r="H32" s="135">
        <f>'115 LS CS5'!$C33</f>
        <v>0</v>
      </c>
      <c r="J32" s="150">
        <f>'101 LS LY'!$D33</f>
        <v>0</v>
      </c>
      <c r="K32" s="150">
        <f>'111 LS CS1'!$D33</f>
        <v>0</v>
      </c>
      <c r="L32" s="150">
        <f>'112 LS CS2'!$D33</f>
        <v>0</v>
      </c>
      <c r="M32" s="150">
        <f>'113 LS CS3'!$D33</f>
        <v>0</v>
      </c>
      <c r="N32" s="150">
        <f>'114 LS CS4'!$D33</f>
        <v>0</v>
      </c>
      <c r="O32" s="150">
        <f>'115 LS CS5'!$D33</f>
        <v>0</v>
      </c>
      <c r="Q32" s="137">
        <f t="shared" si="10"/>
        <v>0</v>
      </c>
      <c r="R32" s="137">
        <f t="shared" si="6"/>
        <v>0</v>
      </c>
      <c r="S32" s="137">
        <f t="shared" si="7"/>
        <v>0</v>
      </c>
      <c r="T32" s="137">
        <f t="shared" si="8"/>
        <v>0</v>
      </c>
      <c r="U32" s="137">
        <f t="shared" si="9"/>
        <v>0</v>
      </c>
    </row>
    <row r="33" spans="2:21" ht="15" customHeight="1">
      <c r="B33" s="136" t="s">
        <v>116</v>
      </c>
      <c r="C33" s="135">
        <f>'101 LS LY'!$C34</f>
        <v>0</v>
      </c>
      <c r="D33" s="135">
        <f>'111 LS CS1'!$C34</f>
        <v>0</v>
      </c>
      <c r="E33" s="135">
        <f>'112 LS CS2'!$C34</f>
        <v>0</v>
      </c>
      <c r="F33" s="135">
        <f>'113 LS CS3'!$C34</f>
        <v>0</v>
      </c>
      <c r="G33" s="135">
        <f>'114 LS CS4'!$C34</f>
        <v>0</v>
      </c>
      <c r="H33" s="135">
        <f>'115 LS CS5'!$C34</f>
        <v>0</v>
      </c>
      <c r="J33" s="150">
        <f>'101 LS LY'!$D34</f>
        <v>0</v>
      </c>
      <c r="K33" s="150">
        <f>'111 LS CS1'!$D34</f>
        <v>0</v>
      </c>
      <c r="L33" s="150">
        <f>'112 LS CS2'!$D34</f>
        <v>0</v>
      </c>
      <c r="M33" s="150">
        <f>'113 LS CS3'!$D34</f>
        <v>0</v>
      </c>
      <c r="N33" s="150">
        <f>'114 LS CS4'!$D34</f>
        <v>0</v>
      </c>
      <c r="O33" s="150">
        <f>'115 LS CS5'!$D34</f>
        <v>0</v>
      </c>
      <c r="Q33" s="137">
        <f t="shared" si="10"/>
        <v>0</v>
      </c>
      <c r="R33" s="137">
        <f t="shared" si="6"/>
        <v>0</v>
      </c>
      <c r="S33" s="137">
        <f t="shared" si="7"/>
        <v>0</v>
      </c>
      <c r="T33" s="137">
        <f t="shared" si="8"/>
        <v>0</v>
      </c>
      <c r="U33" s="137">
        <f t="shared" si="9"/>
        <v>0</v>
      </c>
    </row>
    <row r="34" spans="2:21" ht="15" customHeight="1">
      <c r="B34" s="136" t="s">
        <v>117</v>
      </c>
      <c r="C34" s="135">
        <f>'101 LS LY'!$C35</f>
        <v>0</v>
      </c>
      <c r="D34" s="135">
        <f>'111 LS CS1'!$C35</f>
        <v>0</v>
      </c>
      <c r="E34" s="135">
        <f>'112 LS CS2'!$C35</f>
        <v>0</v>
      </c>
      <c r="F34" s="135">
        <f>'113 LS CS3'!$C35</f>
        <v>0</v>
      </c>
      <c r="G34" s="135">
        <f>'114 LS CS4'!$C35</f>
        <v>0</v>
      </c>
      <c r="H34" s="135">
        <f>'115 LS CS5'!$C35</f>
        <v>0</v>
      </c>
      <c r="J34" s="150">
        <f>'101 LS LY'!$D35</f>
        <v>0</v>
      </c>
      <c r="K34" s="150">
        <f>'111 LS CS1'!$D35</f>
        <v>0</v>
      </c>
      <c r="L34" s="150">
        <f>'112 LS CS2'!$D35</f>
        <v>0</v>
      </c>
      <c r="M34" s="150">
        <f>'113 LS CS3'!$D35</f>
        <v>0</v>
      </c>
      <c r="N34" s="150">
        <f>'114 LS CS4'!$D35</f>
        <v>0</v>
      </c>
      <c r="O34" s="150">
        <f>'115 LS CS5'!$D35</f>
        <v>0</v>
      </c>
      <c r="Q34" s="137">
        <f t="shared" si="10"/>
        <v>0</v>
      </c>
      <c r="R34" s="137">
        <f t="shared" si="6"/>
        <v>0</v>
      </c>
      <c r="S34" s="137">
        <f t="shared" si="7"/>
        <v>0</v>
      </c>
      <c r="T34" s="137">
        <f t="shared" si="8"/>
        <v>0</v>
      </c>
      <c r="U34" s="137">
        <f t="shared" si="9"/>
        <v>0</v>
      </c>
    </row>
    <row r="35" spans="2:21" ht="15" customHeight="1">
      <c r="B35" s="136" t="s">
        <v>118</v>
      </c>
      <c r="C35" s="135">
        <f>'101 LS LY'!$C36</f>
        <v>0</v>
      </c>
      <c r="D35" s="135">
        <f>'111 LS CS1'!$C36</f>
        <v>0</v>
      </c>
      <c r="E35" s="135">
        <f>'112 LS CS2'!$C36</f>
        <v>0</v>
      </c>
      <c r="F35" s="135">
        <f>'113 LS CS3'!$C36</f>
        <v>0</v>
      </c>
      <c r="G35" s="135">
        <f>'114 LS CS4'!$C36</f>
        <v>0</v>
      </c>
      <c r="H35" s="135">
        <f>'115 LS CS5'!$C36</f>
        <v>0</v>
      </c>
      <c r="J35" s="150">
        <f>'101 LS LY'!$D36</f>
        <v>0</v>
      </c>
      <c r="K35" s="150">
        <f>'111 LS CS1'!$D36</f>
        <v>0</v>
      </c>
      <c r="L35" s="150">
        <f>'112 LS CS2'!$D36</f>
        <v>0</v>
      </c>
      <c r="M35" s="150">
        <f>'113 LS CS3'!$D36</f>
        <v>0</v>
      </c>
      <c r="N35" s="150">
        <f>'114 LS CS4'!$D36</f>
        <v>0</v>
      </c>
      <c r="O35" s="150">
        <f>'115 LS CS5'!$D36</f>
        <v>0</v>
      </c>
      <c r="Q35" s="137">
        <f t="shared" si="10"/>
        <v>0</v>
      </c>
      <c r="R35" s="137">
        <f t="shared" si="6"/>
        <v>0</v>
      </c>
      <c r="S35" s="137">
        <f t="shared" si="7"/>
        <v>0</v>
      </c>
      <c r="T35" s="137">
        <f t="shared" si="8"/>
        <v>0</v>
      </c>
      <c r="U35" s="137">
        <f t="shared" si="9"/>
        <v>0</v>
      </c>
    </row>
    <row r="36" spans="2:21" ht="15" customHeight="1">
      <c r="Q36" s="156"/>
      <c r="R36" s="156"/>
      <c r="S36" s="156"/>
      <c r="T36" s="156"/>
      <c r="U36" s="156"/>
    </row>
    <row r="37" spans="2:21" ht="15" customHeight="1">
      <c r="B37" s="138" t="s">
        <v>120</v>
      </c>
      <c r="C37" s="139">
        <f>'101 LS LY'!$C38</f>
        <v>146020000</v>
      </c>
      <c r="D37" s="139">
        <f>'111 LS CS1'!$C38</f>
        <v>148569600</v>
      </c>
      <c r="E37" s="139">
        <f>'112 LS CS2'!$C38</f>
        <v>147854492</v>
      </c>
      <c r="F37" s="139">
        <f>'113 LS CS3'!$C38</f>
        <v>146028062</v>
      </c>
      <c r="G37" s="139">
        <f>'114 LS CS4'!$C38</f>
        <v>146529250</v>
      </c>
      <c r="H37" s="139">
        <f>'115 LS CS5'!$C38</f>
        <v>146029200</v>
      </c>
      <c r="J37" s="149">
        <f>'101 LS LY'!$D38</f>
        <v>0.50006849315068491</v>
      </c>
      <c r="K37" s="149">
        <f>'111 LS CS1'!$D38</f>
        <v>0.50376237623762377</v>
      </c>
      <c r="L37" s="149">
        <f>'112 LS CS2'!$D38</f>
        <v>0.50133762376237623</v>
      </c>
      <c r="M37" s="149">
        <f>'113 LS CS3'!$D38</f>
        <v>0.50203909720462658</v>
      </c>
      <c r="N37" s="149">
        <f>'114 LS CS4'!$D38</f>
        <v>0.50977777777777777</v>
      </c>
      <c r="O37" s="149">
        <f>'115 LS CS5'!$D38</f>
        <v>0.50009999999999999</v>
      </c>
      <c r="Q37" s="158">
        <f t="shared" si="10"/>
        <v>2549600</v>
      </c>
      <c r="R37" s="158">
        <f t="shared" si="6"/>
        <v>1834492</v>
      </c>
      <c r="S37" s="158">
        <f t="shared" si="7"/>
        <v>8062</v>
      </c>
      <c r="T37" s="158">
        <f t="shared" si="8"/>
        <v>509250</v>
      </c>
      <c r="U37" s="158">
        <f t="shared" si="9"/>
        <v>9200</v>
      </c>
    </row>
  </sheetData>
  <phoneticPr fontId="3"/>
  <dataValidations count="1">
    <dataValidation imeMode="off" allowBlank="1" showInputMessage="1" showErrorMessage="1" sqref="J7:O12 C7:H12 Q7:U12 Q14:U37 C14:H37 J14:O37" xr:uid="{52B165F8-07E7-441A-9231-4D47DE1E0020}"/>
  </dataValidations>
  <hyperlinks>
    <hyperlink ref="A1" location="index!A1" display="&lt;&lt;" xr:uid="{E4060930-DA04-4C69-886B-0E1C84D60D04}"/>
  </hyperlinks>
  <pageMargins left="0.70866141732283472" right="0.70866141732283472" top="0.74803149606299213" bottom="0.74803149606299213" header="0.31496062992125984" footer="0.31496062992125984"/>
  <pageSetup paperSize="9" scale="9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O71"/>
  <sheetViews>
    <sheetView showGridLines="0" zoomScaleNormal="100" workbookViewId="0">
      <selection activeCell="L21" sqref="L21"/>
    </sheetView>
  </sheetViews>
  <sheetFormatPr defaultRowHeight="15" customHeight="1"/>
  <cols>
    <col min="1" max="1" width="3.69140625" style="2" customWidth="1"/>
    <col min="2" max="15" width="16.69140625" style="2" customWidth="1"/>
    <col min="16" max="16384" width="9.23046875" style="2"/>
  </cols>
  <sheetData>
    <row r="1" spans="1:15" ht="19.149999999999999" thickBot="1">
      <c r="A1" s="4" t="s">
        <v>0</v>
      </c>
      <c r="B1" s="3" t="s">
        <v>37</v>
      </c>
      <c r="C1" s="3"/>
      <c r="D1" s="3"/>
      <c r="E1" s="3"/>
      <c r="F1" s="3"/>
      <c r="G1" s="3"/>
      <c r="H1" s="3"/>
      <c r="I1" s="3"/>
      <c r="J1" s="3"/>
      <c r="K1" s="3"/>
      <c r="L1" s="3"/>
      <c r="M1" s="3"/>
      <c r="N1" s="3"/>
      <c r="O1" s="115" t="str">
        <f>index!$C$7</f>
        <v>Sample Hotel</v>
      </c>
    </row>
    <row r="2" spans="1:15" ht="15" customHeight="1" thickTop="1"/>
    <row r="3" spans="1:15" ht="15" customHeight="1">
      <c r="A3" s="2" t="s">
        <v>42</v>
      </c>
      <c r="N3" s="82" t="s">
        <v>256</v>
      </c>
      <c r="O3" s="118">
        <f>DATE(index!$J$7,index!$L$7,index!$N$7)</f>
        <v>44635</v>
      </c>
    </row>
    <row r="4" spans="1:15" ht="15" customHeight="1">
      <c r="A4" s="2" t="s">
        <v>43</v>
      </c>
    </row>
    <row r="6" spans="1:15" ht="15" customHeight="1">
      <c r="B6" s="22" t="s">
        <v>44</v>
      </c>
      <c r="C6" s="24">
        <v>100</v>
      </c>
      <c r="D6" s="22" t="s">
        <v>45</v>
      </c>
      <c r="E6" s="22"/>
      <c r="F6" s="22"/>
      <c r="G6" s="22"/>
      <c r="H6" s="22"/>
      <c r="I6" s="22"/>
      <c r="J6" s="22"/>
      <c r="K6" s="22"/>
      <c r="L6" s="22"/>
      <c r="M6" s="22"/>
      <c r="N6" s="22"/>
      <c r="O6" s="22"/>
    </row>
    <row r="7" spans="1:15" ht="15" customHeight="1">
      <c r="B7" s="59" t="s">
        <v>122</v>
      </c>
      <c r="C7" s="60">
        <v>0.8</v>
      </c>
      <c r="D7" s="22"/>
      <c r="E7" s="22"/>
      <c r="F7" s="30" t="s">
        <v>46</v>
      </c>
      <c r="G7" s="29">
        <v>365</v>
      </c>
      <c r="H7" s="22"/>
      <c r="I7" s="30" t="s">
        <v>47</v>
      </c>
      <c r="J7" s="23">
        <f>IF(L7&gt;0,L7,ROUND(C6*G7*C7,0))</f>
        <v>29200</v>
      </c>
      <c r="K7" s="31" t="s">
        <v>48</v>
      </c>
      <c r="L7" s="24"/>
      <c r="M7" s="31" t="s">
        <v>49</v>
      </c>
      <c r="N7" s="22"/>
      <c r="O7" s="22"/>
    </row>
    <row r="8" spans="1:15" ht="15" customHeight="1">
      <c r="B8" s="59" t="s">
        <v>38</v>
      </c>
      <c r="C8" s="61">
        <v>10000</v>
      </c>
      <c r="D8" s="22" t="s">
        <v>50</v>
      </c>
      <c r="E8" s="22"/>
      <c r="F8" s="22"/>
      <c r="G8" s="22"/>
      <c r="H8" s="22"/>
      <c r="I8" s="22"/>
      <c r="J8" s="22"/>
      <c r="K8" s="22"/>
      <c r="L8" s="22"/>
      <c r="M8" s="22"/>
      <c r="N8" s="22"/>
      <c r="O8" s="22"/>
    </row>
    <row r="9" spans="1:15" ht="15" customHeight="1">
      <c r="B9" s="22"/>
      <c r="C9" s="22"/>
      <c r="D9" s="22"/>
      <c r="E9" s="22"/>
      <c r="F9" s="22"/>
      <c r="G9" s="22"/>
      <c r="H9" s="22"/>
      <c r="I9" s="22"/>
      <c r="J9" s="22"/>
      <c r="K9" s="22"/>
      <c r="L9" s="22"/>
      <c r="M9" s="22"/>
      <c r="N9" s="22"/>
      <c r="O9" s="22"/>
    </row>
    <row r="10" spans="1:15" ht="15" customHeight="1">
      <c r="B10" s="22" t="s">
        <v>51</v>
      </c>
      <c r="C10" s="46">
        <f>C8*J7</f>
        <v>292000000</v>
      </c>
      <c r="D10" s="22"/>
      <c r="E10" s="22"/>
      <c r="F10" s="22"/>
      <c r="G10" s="22"/>
      <c r="H10" s="22"/>
      <c r="I10" s="22"/>
      <c r="J10" s="22"/>
      <c r="K10" s="22"/>
      <c r="L10" s="22"/>
      <c r="M10" s="22"/>
      <c r="N10" s="22"/>
      <c r="O10" s="22"/>
    </row>
    <row r="11" spans="1:15" ht="15" customHeight="1">
      <c r="B11" s="22" t="s">
        <v>52</v>
      </c>
      <c r="C11" s="47">
        <v>0</v>
      </c>
      <c r="D11" s="22"/>
      <c r="E11" s="22"/>
      <c r="F11" s="22"/>
      <c r="G11" s="22"/>
      <c r="H11" s="22"/>
      <c r="I11" s="22"/>
      <c r="J11" s="22"/>
      <c r="K11" s="22"/>
      <c r="L11" s="22"/>
      <c r="M11" s="22"/>
      <c r="N11" s="22"/>
      <c r="O11" s="22"/>
    </row>
    <row r="12" spans="1:15" ht="15" customHeight="1">
      <c r="B12" s="58" t="s">
        <v>121</v>
      </c>
      <c r="C12" s="55">
        <f>C10+C11</f>
        <v>292000000</v>
      </c>
      <c r="D12" s="57"/>
      <c r="E12" s="57"/>
      <c r="F12" s="57"/>
      <c r="G12" s="57"/>
      <c r="H12" s="57"/>
      <c r="I12" s="57"/>
      <c r="J12" s="57"/>
      <c r="K12" s="57"/>
      <c r="L12" s="57"/>
      <c r="M12" s="57"/>
      <c r="N12" s="57"/>
      <c r="O12" s="57"/>
    </row>
    <row r="14" spans="1:15" ht="15" customHeight="1">
      <c r="B14" s="22"/>
      <c r="C14" s="21" t="s">
        <v>91</v>
      </c>
      <c r="D14" s="21" t="s">
        <v>92</v>
      </c>
      <c r="E14" s="22"/>
      <c r="F14" s="22"/>
      <c r="G14" s="22"/>
      <c r="H14" s="22"/>
      <c r="I14" s="22"/>
      <c r="J14" s="22"/>
      <c r="K14" s="22"/>
      <c r="L14" s="22"/>
      <c r="M14" s="22"/>
      <c r="N14" s="22"/>
      <c r="O14" s="22"/>
    </row>
    <row r="15" spans="1:15" ht="15" customHeight="1">
      <c r="B15" s="21" t="s">
        <v>13</v>
      </c>
      <c r="C15" s="26">
        <f>SUM(C16:C19)</f>
        <v>36500000</v>
      </c>
      <c r="D15" s="48">
        <f>C15/$C$12</f>
        <v>0.125</v>
      </c>
      <c r="E15" s="22"/>
      <c r="F15" s="21" t="s">
        <v>94</v>
      </c>
      <c r="G15" s="22"/>
      <c r="H15" s="22"/>
      <c r="I15" s="22"/>
      <c r="J15" s="22"/>
      <c r="K15" s="22"/>
      <c r="L15" s="22"/>
      <c r="M15" s="22"/>
      <c r="N15" s="80" t="s">
        <v>126</v>
      </c>
      <c r="O15" s="22"/>
    </row>
    <row r="16" spans="1:15" ht="15" customHeight="1">
      <c r="B16" s="49" t="s">
        <v>88</v>
      </c>
      <c r="C16" s="50">
        <f>G42</f>
        <v>20000000</v>
      </c>
      <c r="D16" s="51">
        <f t="shared" ref="D16:D27" si="0">C16/$C$12</f>
        <v>6.8493150684931503E-2</v>
      </c>
      <c r="E16" s="22"/>
      <c r="F16" s="21" t="s">
        <v>95</v>
      </c>
      <c r="G16" s="22"/>
      <c r="H16" s="22"/>
      <c r="I16" s="22"/>
      <c r="J16" s="22"/>
      <c r="K16" s="22"/>
      <c r="L16" s="22"/>
      <c r="M16" s="22"/>
      <c r="N16" s="80" t="s">
        <v>126</v>
      </c>
      <c r="O16" s="22"/>
    </row>
    <row r="17" spans="2:15" ht="15" customHeight="1">
      <c r="B17" s="49" t="s">
        <v>89</v>
      </c>
      <c r="C17" s="50">
        <f>G58</f>
        <v>3500000</v>
      </c>
      <c r="D17" s="51">
        <f t="shared" si="0"/>
        <v>1.1986301369863013E-2</v>
      </c>
      <c r="E17" s="22"/>
      <c r="F17" s="22"/>
      <c r="G17" s="22"/>
      <c r="H17" s="22"/>
      <c r="I17" s="22"/>
      <c r="J17" s="22"/>
      <c r="K17" s="22"/>
      <c r="L17" s="22"/>
      <c r="M17" s="22"/>
      <c r="N17" s="80" t="s">
        <v>126</v>
      </c>
      <c r="O17" s="79" t="s">
        <v>127</v>
      </c>
    </row>
    <row r="18" spans="2:15" ht="15" customHeight="1">
      <c r="B18" s="49" t="s">
        <v>90</v>
      </c>
      <c r="C18" s="50">
        <f>G64</f>
        <v>10000000</v>
      </c>
      <c r="D18" s="51">
        <f t="shared" si="0"/>
        <v>3.4246575342465752E-2</v>
      </c>
      <c r="E18" s="22"/>
      <c r="F18" s="22"/>
      <c r="G18" s="22"/>
      <c r="H18" s="22"/>
      <c r="I18" s="22"/>
      <c r="J18" s="22"/>
      <c r="K18" s="22"/>
      <c r="L18" s="22"/>
      <c r="M18" s="22"/>
      <c r="N18" s="80" t="s">
        <v>126</v>
      </c>
      <c r="O18" s="22"/>
    </row>
    <row r="19" spans="2:15" ht="15" customHeight="1">
      <c r="B19" s="49" t="s">
        <v>96</v>
      </c>
      <c r="C19" s="50">
        <f>IF(I19&gt;0,I19,ROUND(C16*G19,0))</f>
        <v>3000000</v>
      </c>
      <c r="D19" s="51">
        <f t="shared" si="0"/>
        <v>1.0273972602739725E-2</v>
      </c>
      <c r="E19" s="22"/>
      <c r="F19" s="28" t="s">
        <v>106</v>
      </c>
      <c r="G19" s="27">
        <v>0.15</v>
      </c>
      <c r="H19" s="28" t="s">
        <v>97</v>
      </c>
      <c r="I19" s="25"/>
      <c r="J19" s="22"/>
      <c r="K19" s="22"/>
      <c r="L19" s="22"/>
      <c r="M19" s="22"/>
      <c r="N19" s="80" t="s">
        <v>126</v>
      </c>
      <c r="O19" s="22"/>
    </row>
    <row r="20" spans="2:15" ht="15" customHeight="1">
      <c r="B20" s="21" t="s">
        <v>93</v>
      </c>
      <c r="C20" s="26">
        <f>SUM(C21:C27)</f>
        <v>109480000</v>
      </c>
      <c r="D20" s="48">
        <f>C20/$C$12</f>
        <v>0.37493150684931509</v>
      </c>
      <c r="E20" s="22"/>
      <c r="F20" s="22"/>
      <c r="G20" s="22"/>
      <c r="H20" s="22"/>
      <c r="I20" s="22"/>
      <c r="J20" s="22"/>
      <c r="K20" s="22"/>
      <c r="L20" s="22"/>
      <c r="M20" s="22"/>
      <c r="N20" s="22"/>
      <c r="O20" s="22"/>
    </row>
    <row r="21" spans="2:15" ht="15" customHeight="1">
      <c r="B21" s="83" t="s">
        <v>99</v>
      </c>
      <c r="C21" s="84">
        <f>IF(I21&gt;0,I21,ROUND($C$12*G21,0))</f>
        <v>13000000</v>
      </c>
      <c r="D21" s="85">
        <f t="shared" si="0"/>
        <v>4.4520547945205477E-2</v>
      </c>
      <c r="E21" s="86"/>
      <c r="F21" s="87" t="s">
        <v>107</v>
      </c>
      <c r="G21" s="27"/>
      <c r="H21" s="87" t="s">
        <v>97</v>
      </c>
      <c r="I21" s="25">
        <v>13000000</v>
      </c>
      <c r="J21" s="86"/>
      <c r="K21" s="90" t="s">
        <v>124</v>
      </c>
      <c r="L21" s="91">
        <f>ROUND(C21/$J$7,0)</f>
        <v>445</v>
      </c>
      <c r="M21" s="90" t="s">
        <v>132</v>
      </c>
      <c r="N21" s="79" t="s">
        <v>128</v>
      </c>
      <c r="O21" s="86"/>
    </row>
    <row r="22" spans="2:15" ht="15" customHeight="1">
      <c r="B22" s="83" t="s">
        <v>100</v>
      </c>
      <c r="C22" s="84">
        <f t="shared" ref="C22:C27" si="1">IF(I22&gt;0,I22,ROUND($C$12*G22,0))</f>
        <v>17000000</v>
      </c>
      <c r="D22" s="85">
        <f t="shared" si="0"/>
        <v>5.8219178082191778E-2</v>
      </c>
      <c r="E22" s="86"/>
      <c r="F22" s="88" t="s">
        <v>107</v>
      </c>
      <c r="G22" s="27"/>
      <c r="H22" s="88" t="s">
        <v>97</v>
      </c>
      <c r="I22" s="25">
        <v>17000000</v>
      </c>
      <c r="J22" s="86"/>
      <c r="K22" s="90" t="s">
        <v>124</v>
      </c>
      <c r="L22" s="91">
        <f t="shared" ref="L22:L27" si="2">ROUND(C22/$J$7,0)</f>
        <v>582</v>
      </c>
      <c r="M22" s="86" t="s">
        <v>132</v>
      </c>
      <c r="N22" s="79" t="s">
        <v>128</v>
      </c>
      <c r="O22" s="86"/>
    </row>
    <row r="23" spans="2:15" ht="15" customHeight="1">
      <c r="B23" s="83" t="s">
        <v>101</v>
      </c>
      <c r="C23" s="84">
        <f t="shared" si="1"/>
        <v>24000000</v>
      </c>
      <c r="D23" s="85">
        <f t="shared" si="0"/>
        <v>8.2191780821917804E-2</v>
      </c>
      <c r="E23" s="86"/>
      <c r="F23" s="89" t="s">
        <v>107</v>
      </c>
      <c r="G23" s="27"/>
      <c r="H23" s="89" t="s">
        <v>97</v>
      </c>
      <c r="I23" s="25">
        <v>24000000</v>
      </c>
      <c r="J23" s="86"/>
      <c r="K23" s="90" t="s">
        <v>124</v>
      </c>
      <c r="L23" s="91">
        <f t="shared" si="2"/>
        <v>822</v>
      </c>
      <c r="M23" s="86" t="s">
        <v>132</v>
      </c>
      <c r="N23" s="79" t="s">
        <v>128</v>
      </c>
      <c r="O23" s="86"/>
    </row>
    <row r="24" spans="2:15" ht="15" customHeight="1">
      <c r="B24" s="83" t="s">
        <v>102</v>
      </c>
      <c r="C24" s="84">
        <f t="shared" si="1"/>
        <v>32120000</v>
      </c>
      <c r="D24" s="85">
        <f t="shared" si="0"/>
        <v>0.11</v>
      </c>
      <c r="E24" s="86"/>
      <c r="F24" s="89" t="s">
        <v>107</v>
      </c>
      <c r="G24" s="27">
        <v>0.11</v>
      </c>
      <c r="H24" s="89" t="s">
        <v>97</v>
      </c>
      <c r="I24" s="25"/>
      <c r="J24" s="86"/>
      <c r="K24" s="90" t="s">
        <v>124</v>
      </c>
      <c r="L24" s="91">
        <f t="shared" si="2"/>
        <v>1100</v>
      </c>
      <c r="M24" s="86" t="s">
        <v>132</v>
      </c>
      <c r="N24" s="78" t="s">
        <v>129</v>
      </c>
      <c r="O24" s="86"/>
    </row>
    <row r="25" spans="2:15" ht="15" customHeight="1">
      <c r="B25" s="49" t="s">
        <v>103</v>
      </c>
      <c r="C25" s="50">
        <f t="shared" si="1"/>
        <v>17520000</v>
      </c>
      <c r="D25" s="51">
        <f t="shared" si="0"/>
        <v>0.06</v>
      </c>
      <c r="E25" s="22"/>
      <c r="F25" s="53" t="s">
        <v>107</v>
      </c>
      <c r="G25" s="27">
        <v>0.06</v>
      </c>
      <c r="H25" s="53" t="s">
        <v>97</v>
      </c>
      <c r="I25" s="25"/>
      <c r="J25" s="22"/>
      <c r="K25" s="22"/>
      <c r="L25" s="63">
        <f t="shared" si="2"/>
        <v>600</v>
      </c>
      <c r="M25" s="22" t="s">
        <v>132</v>
      </c>
      <c r="N25" s="79" t="s">
        <v>128</v>
      </c>
      <c r="O25" s="22"/>
    </row>
    <row r="26" spans="2:15" ht="15" customHeight="1">
      <c r="B26" s="49" t="s">
        <v>104</v>
      </c>
      <c r="C26" s="50">
        <f t="shared" si="1"/>
        <v>2920000</v>
      </c>
      <c r="D26" s="51">
        <f t="shared" si="0"/>
        <v>0.01</v>
      </c>
      <c r="E26" s="22"/>
      <c r="F26" s="53" t="s">
        <v>107</v>
      </c>
      <c r="G26" s="27">
        <v>0.01</v>
      </c>
      <c r="H26" s="53" t="s">
        <v>97</v>
      </c>
      <c r="I26" s="25"/>
      <c r="J26" s="22"/>
      <c r="K26" s="22"/>
      <c r="L26" s="63">
        <f t="shared" si="2"/>
        <v>100</v>
      </c>
      <c r="M26" s="22" t="s">
        <v>132</v>
      </c>
      <c r="N26" s="78" t="s">
        <v>129</v>
      </c>
      <c r="O26" s="22"/>
    </row>
    <row r="27" spans="2:15" ht="15" customHeight="1">
      <c r="B27" s="49" t="s">
        <v>105</v>
      </c>
      <c r="C27" s="50">
        <f t="shared" si="1"/>
        <v>2920000</v>
      </c>
      <c r="D27" s="51">
        <f t="shared" si="0"/>
        <v>0.01</v>
      </c>
      <c r="E27" s="22"/>
      <c r="F27" s="53" t="s">
        <v>107</v>
      </c>
      <c r="G27" s="27">
        <v>0.01</v>
      </c>
      <c r="H27" s="53" t="s">
        <v>97</v>
      </c>
      <c r="I27" s="25"/>
      <c r="J27" s="22"/>
      <c r="K27" s="22"/>
      <c r="L27" s="63">
        <f t="shared" si="2"/>
        <v>100</v>
      </c>
      <c r="M27" s="22" t="s">
        <v>132</v>
      </c>
      <c r="N27" s="78" t="s">
        <v>129</v>
      </c>
      <c r="O27" s="22"/>
    </row>
    <row r="28" spans="2:15" ht="15" customHeight="1">
      <c r="B28" s="22"/>
      <c r="C28" s="22"/>
      <c r="D28" s="22"/>
      <c r="E28" s="22"/>
      <c r="F28" s="22"/>
      <c r="G28" s="22"/>
      <c r="H28" s="22"/>
      <c r="I28" s="22"/>
      <c r="J28" s="22"/>
      <c r="K28" s="22"/>
      <c r="L28" s="22"/>
      <c r="M28" s="22"/>
      <c r="N28" s="22"/>
      <c r="O28" s="22"/>
    </row>
    <row r="29" spans="2:15" ht="15" customHeight="1">
      <c r="B29" s="54" t="s">
        <v>112</v>
      </c>
      <c r="C29" s="55">
        <f>C12-SUM(C15,C20)</f>
        <v>146020000</v>
      </c>
      <c r="D29" s="56">
        <f>C29/$C$12</f>
        <v>0.50006849315068491</v>
      </c>
      <c r="E29" s="57"/>
      <c r="F29" s="57"/>
      <c r="G29" s="57"/>
      <c r="H29" s="57"/>
      <c r="I29" s="57"/>
      <c r="J29" s="57"/>
      <c r="K29" s="57"/>
      <c r="L29" s="57"/>
      <c r="M29" s="57"/>
      <c r="N29" s="57"/>
      <c r="O29" s="57"/>
    </row>
    <row r="31" spans="2:15" ht="15" customHeight="1">
      <c r="B31" s="21" t="s">
        <v>113</v>
      </c>
      <c r="C31" s="26">
        <f>$C$12*G31</f>
        <v>0</v>
      </c>
      <c r="D31" s="48">
        <f>C31/$C$12</f>
        <v>0</v>
      </c>
      <c r="E31" s="22"/>
      <c r="F31" s="28" t="s">
        <v>107</v>
      </c>
      <c r="G31" s="27"/>
      <c r="H31" s="22"/>
      <c r="I31" s="22"/>
      <c r="J31" s="28" t="s">
        <v>130</v>
      </c>
      <c r="K31" s="81"/>
      <c r="L31" s="81"/>
      <c r="M31" s="81"/>
      <c r="N31" s="78" t="s">
        <v>129</v>
      </c>
      <c r="O31" s="22"/>
    </row>
    <row r="32" spans="2:15" ht="15" customHeight="1">
      <c r="B32" s="21" t="s">
        <v>114</v>
      </c>
      <c r="C32" s="26">
        <f t="shared" ref="C32:C33" si="3">$C$12*G32</f>
        <v>0</v>
      </c>
      <c r="D32" s="48">
        <f t="shared" ref="D32:D36" si="4">C32/$C$12</f>
        <v>0</v>
      </c>
      <c r="E32" s="22"/>
      <c r="F32" s="52" t="s">
        <v>107</v>
      </c>
      <c r="G32" s="27"/>
      <c r="H32" s="22"/>
      <c r="I32" s="22"/>
      <c r="J32" s="52" t="s">
        <v>131</v>
      </c>
      <c r="K32" s="81"/>
      <c r="L32" s="81"/>
      <c r="M32" s="81"/>
      <c r="N32" s="78" t="s">
        <v>129</v>
      </c>
      <c r="O32" s="22"/>
    </row>
    <row r="33" spans="2:15" ht="15" customHeight="1">
      <c r="B33" s="21" t="s">
        <v>115</v>
      </c>
      <c r="C33" s="26">
        <f t="shared" si="3"/>
        <v>0</v>
      </c>
      <c r="D33" s="48">
        <f t="shared" si="4"/>
        <v>0</v>
      </c>
      <c r="E33" s="22"/>
      <c r="F33" s="53" t="s">
        <v>107</v>
      </c>
      <c r="G33" s="27"/>
      <c r="H33" s="22"/>
      <c r="I33" s="22"/>
      <c r="J33" s="52" t="s">
        <v>131</v>
      </c>
      <c r="K33" s="81"/>
      <c r="L33" s="81"/>
      <c r="M33" s="81"/>
      <c r="N33" s="78" t="s">
        <v>129</v>
      </c>
      <c r="O33" s="22"/>
    </row>
    <row r="34" spans="2:15" ht="15" customHeight="1">
      <c r="B34" s="21" t="s">
        <v>116</v>
      </c>
      <c r="C34" s="26">
        <f>I34</f>
        <v>0</v>
      </c>
      <c r="D34" s="48">
        <f t="shared" si="4"/>
        <v>0</v>
      </c>
      <c r="E34" s="22"/>
      <c r="F34" s="22"/>
      <c r="G34" s="22"/>
      <c r="H34" s="28" t="s">
        <v>119</v>
      </c>
      <c r="I34" s="25"/>
      <c r="J34" s="52" t="s">
        <v>131</v>
      </c>
      <c r="K34" s="81"/>
      <c r="L34" s="81"/>
      <c r="M34" s="81"/>
      <c r="N34" s="80" t="s">
        <v>126</v>
      </c>
      <c r="O34" s="22"/>
    </row>
    <row r="35" spans="2:15" ht="15" customHeight="1">
      <c r="B35" s="21" t="s">
        <v>117</v>
      </c>
      <c r="C35" s="26">
        <f t="shared" ref="C35:C36" si="5">I35</f>
        <v>0</v>
      </c>
      <c r="D35" s="48">
        <f t="shared" si="4"/>
        <v>0</v>
      </c>
      <c r="E35" s="22"/>
      <c r="F35" s="22"/>
      <c r="G35" s="22"/>
      <c r="H35" s="52" t="s">
        <v>119</v>
      </c>
      <c r="I35" s="25"/>
      <c r="J35" s="52" t="s">
        <v>131</v>
      </c>
      <c r="K35" s="81"/>
      <c r="L35" s="81"/>
      <c r="M35" s="81"/>
      <c r="N35" s="80" t="s">
        <v>126</v>
      </c>
      <c r="O35" s="22"/>
    </row>
    <row r="36" spans="2:15" ht="15" customHeight="1">
      <c r="B36" s="21" t="s">
        <v>118</v>
      </c>
      <c r="C36" s="26">
        <f t="shared" si="5"/>
        <v>0</v>
      </c>
      <c r="D36" s="48">
        <f t="shared" si="4"/>
        <v>0</v>
      </c>
      <c r="E36" s="22"/>
      <c r="F36" s="22"/>
      <c r="G36" s="22"/>
      <c r="H36" s="53" t="s">
        <v>119</v>
      </c>
      <c r="I36" s="25"/>
      <c r="J36" s="52" t="s">
        <v>131</v>
      </c>
      <c r="K36" s="81"/>
      <c r="L36" s="81"/>
      <c r="M36" s="81"/>
      <c r="N36" s="80" t="s">
        <v>126</v>
      </c>
      <c r="O36" s="22"/>
    </row>
    <row r="38" spans="2:15" ht="15" customHeight="1">
      <c r="B38" s="54" t="s">
        <v>120</v>
      </c>
      <c r="C38" s="55">
        <f>C29-SUM(C31:C36)</f>
        <v>146020000</v>
      </c>
      <c r="D38" s="56">
        <f>C38/$C$12</f>
        <v>0.50006849315068491</v>
      </c>
      <c r="E38" s="57"/>
      <c r="F38" s="57"/>
      <c r="G38" s="57"/>
      <c r="H38" s="57"/>
      <c r="I38" s="57"/>
      <c r="J38" s="57"/>
      <c r="K38" s="57"/>
      <c r="L38" s="57"/>
      <c r="M38" s="57"/>
      <c r="N38" s="57"/>
      <c r="O38" s="57"/>
    </row>
    <row r="42" spans="2:15" ht="15" customHeight="1">
      <c r="B42" s="73" t="s">
        <v>78</v>
      </c>
      <c r="C42" s="21" t="s">
        <v>80</v>
      </c>
      <c r="D42" s="22"/>
      <c r="E42" s="22"/>
      <c r="F42" s="62">
        <v>1</v>
      </c>
      <c r="G42" s="63">
        <f>VLOOKUP(F42,C44:J46,8,FALSE)</f>
        <v>20000000</v>
      </c>
      <c r="H42" s="22"/>
      <c r="I42" s="64" t="s">
        <v>98</v>
      </c>
      <c r="J42" s="22"/>
      <c r="K42" s="22"/>
      <c r="L42" s="22"/>
      <c r="M42" s="22"/>
      <c r="N42" s="22"/>
      <c r="O42" s="22"/>
    </row>
    <row r="43" spans="2:15" ht="15" customHeight="1">
      <c r="B43" s="32"/>
      <c r="C43" s="22"/>
      <c r="D43" s="22"/>
      <c r="E43" s="22"/>
      <c r="F43" s="22"/>
      <c r="G43" s="22"/>
      <c r="H43" s="22"/>
      <c r="I43" s="22"/>
      <c r="J43" s="22"/>
      <c r="K43" s="22"/>
      <c r="L43" s="22"/>
      <c r="M43" s="22"/>
      <c r="N43" s="22"/>
      <c r="O43" s="22"/>
    </row>
    <row r="44" spans="2:15" ht="15" customHeight="1">
      <c r="B44" s="32"/>
      <c r="C44" s="22">
        <v>1</v>
      </c>
      <c r="D44" s="22" t="s">
        <v>53</v>
      </c>
      <c r="E44" s="22"/>
      <c r="F44" s="25">
        <v>20000000</v>
      </c>
      <c r="G44" s="22"/>
      <c r="H44" s="22"/>
      <c r="I44" s="22"/>
      <c r="J44" s="65">
        <f>F44</f>
        <v>20000000</v>
      </c>
      <c r="K44" s="22"/>
      <c r="L44" s="22"/>
      <c r="M44" s="22"/>
      <c r="N44" s="22"/>
      <c r="O44" s="22"/>
    </row>
    <row r="45" spans="2:15" ht="15" customHeight="1">
      <c r="B45" s="32"/>
      <c r="C45" s="22">
        <v>2</v>
      </c>
      <c r="D45" s="22" t="s">
        <v>54</v>
      </c>
      <c r="E45" s="22"/>
      <c r="F45" s="27">
        <v>0.1</v>
      </c>
      <c r="G45" s="22"/>
      <c r="H45" s="22"/>
      <c r="I45" s="22"/>
      <c r="J45" s="65">
        <f>ROUND(F45*C12,0)</f>
        <v>29200000</v>
      </c>
      <c r="K45" s="22"/>
      <c r="L45" s="22"/>
      <c r="M45" s="22"/>
      <c r="N45" s="22"/>
      <c r="O45" s="22"/>
    </row>
    <row r="46" spans="2:15" ht="15" customHeight="1">
      <c r="B46" s="32"/>
      <c r="C46" s="22">
        <v>3</v>
      </c>
      <c r="D46" s="22" t="s">
        <v>55</v>
      </c>
      <c r="E46" s="22"/>
      <c r="F46" s="22"/>
      <c r="G46" s="22"/>
      <c r="H46" s="28" t="s">
        <v>40</v>
      </c>
      <c r="I46" s="66">
        <f>I51+I56/N53</f>
        <v>10</v>
      </c>
      <c r="J46" s="67">
        <f>SUM(J47:J55)</f>
        <v>33970000</v>
      </c>
      <c r="K46" s="22"/>
      <c r="L46" s="75"/>
      <c r="M46" s="75"/>
      <c r="N46" s="75"/>
      <c r="O46" s="75"/>
    </row>
    <row r="47" spans="2:15" ht="15" customHeight="1">
      <c r="B47" s="32"/>
      <c r="C47" s="22"/>
      <c r="D47" s="22"/>
      <c r="E47" s="22" t="s">
        <v>57</v>
      </c>
      <c r="F47" s="30" t="s">
        <v>58</v>
      </c>
      <c r="G47" s="25">
        <v>4000000</v>
      </c>
      <c r="H47" s="30" t="s">
        <v>59</v>
      </c>
      <c r="I47" s="24">
        <v>1</v>
      </c>
      <c r="J47" s="68">
        <f>G47*I47</f>
        <v>4000000</v>
      </c>
      <c r="K47" s="22"/>
      <c r="L47" s="33" t="s">
        <v>56</v>
      </c>
      <c r="M47" s="34"/>
      <c r="N47" s="34"/>
      <c r="O47" s="35"/>
    </row>
    <row r="48" spans="2:15" ht="15" customHeight="1">
      <c r="B48" s="32"/>
      <c r="C48" s="22"/>
      <c r="D48" s="22"/>
      <c r="E48" s="22" t="s">
        <v>60</v>
      </c>
      <c r="F48" s="69" t="s">
        <v>109</v>
      </c>
      <c r="G48" s="25"/>
      <c r="H48" s="69" t="s">
        <v>108</v>
      </c>
      <c r="I48" s="24"/>
      <c r="J48" s="68">
        <f t="shared" ref="J48:J49" si="6">G48*I48</f>
        <v>0</v>
      </c>
      <c r="K48" s="22"/>
      <c r="L48" s="36" t="s">
        <v>41</v>
      </c>
      <c r="M48" s="37"/>
      <c r="N48" s="37"/>
      <c r="O48" s="38"/>
    </row>
    <row r="49" spans="2:15" ht="15" customHeight="1">
      <c r="B49" s="32"/>
      <c r="C49" s="22"/>
      <c r="D49" s="22"/>
      <c r="E49" s="22" t="s">
        <v>62</v>
      </c>
      <c r="F49" s="69" t="s">
        <v>109</v>
      </c>
      <c r="G49" s="25"/>
      <c r="H49" s="69" t="s">
        <v>108</v>
      </c>
      <c r="I49" s="24"/>
      <c r="J49" s="68">
        <f t="shared" si="6"/>
        <v>0</v>
      </c>
      <c r="K49" s="22"/>
      <c r="L49" s="36" t="s">
        <v>61</v>
      </c>
      <c r="M49" s="37"/>
      <c r="N49" s="37"/>
      <c r="O49" s="38"/>
    </row>
    <row r="50" spans="2:15" ht="15" customHeight="1">
      <c r="B50" s="32"/>
      <c r="C50" s="22"/>
      <c r="D50" s="22"/>
      <c r="E50" s="22" t="s">
        <v>63</v>
      </c>
      <c r="F50" s="69" t="s">
        <v>109</v>
      </c>
      <c r="G50" s="25">
        <v>3330000</v>
      </c>
      <c r="H50" s="69" t="s">
        <v>108</v>
      </c>
      <c r="I50" s="24">
        <v>9</v>
      </c>
      <c r="J50" s="68">
        <f>G50*I50</f>
        <v>29970000</v>
      </c>
      <c r="K50" s="22"/>
      <c r="L50" s="39" t="s">
        <v>75</v>
      </c>
      <c r="M50" s="37"/>
      <c r="N50" s="37"/>
      <c r="O50" s="38"/>
    </row>
    <row r="51" spans="2:15" ht="15" customHeight="1">
      <c r="B51" s="32"/>
      <c r="C51" s="22"/>
      <c r="D51" s="22"/>
      <c r="E51" s="22"/>
      <c r="F51" s="22"/>
      <c r="G51" s="70"/>
      <c r="H51" s="30" t="s">
        <v>64</v>
      </c>
      <c r="I51" s="71">
        <f>SUM(I47:I50)</f>
        <v>10</v>
      </c>
      <c r="J51" s="72" t="s">
        <v>76</v>
      </c>
      <c r="K51" s="22"/>
      <c r="L51" s="39" t="s">
        <v>74</v>
      </c>
      <c r="M51" s="37"/>
      <c r="N51" s="37"/>
      <c r="O51" s="38"/>
    </row>
    <row r="52" spans="2:15" ht="15" customHeight="1">
      <c r="B52" s="32"/>
      <c r="C52" s="22"/>
      <c r="D52" s="22"/>
      <c r="E52" s="22" t="s">
        <v>65</v>
      </c>
      <c r="F52" s="30" t="s">
        <v>66</v>
      </c>
      <c r="G52" s="25"/>
      <c r="H52" s="30" t="s">
        <v>67</v>
      </c>
      <c r="I52" s="24"/>
      <c r="J52" s="68">
        <f>G52*I52</f>
        <v>0</v>
      </c>
      <c r="K52" s="22"/>
      <c r="L52" s="36"/>
      <c r="M52" s="37"/>
      <c r="N52" s="37"/>
      <c r="O52" s="38"/>
    </row>
    <row r="53" spans="2:15" ht="15" customHeight="1">
      <c r="B53" s="32"/>
      <c r="C53" s="22"/>
      <c r="D53" s="22"/>
      <c r="E53" s="22" t="s">
        <v>68</v>
      </c>
      <c r="F53" s="69" t="s">
        <v>110</v>
      </c>
      <c r="G53" s="25"/>
      <c r="H53" s="69" t="s">
        <v>111</v>
      </c>
      <c r="I53" s="24"/>
      <c r="J53" s="68">
        <f>G53*I53</f>
        <v>0</v>
      </c>
      <c r="K53" s="22"/>
      <c r="L53" s="76" t="s">
        <v>123</v>
      </c>
      <c r="M53" s="37"/>
      <c r="N53" s="40">
        <f>L55*(G7-M55-N55)</f>
        <v>2470</v>
      </c>
      <c r="O53" s="38"/>
    </row>
    <row r="54" spans="2:15" ht="15" customHeight="1">
      <c r="B54" s="32"/>
      <c r="C54" s="22"/>
      <c r="D54" s="22"/>
      <c r="E54" s="22" t="s">
        <v>72</v>
      </c>
      <c r="F54" s="69" t="s">
        <v>110</v>
      </c>
      <c r="G54" s="25"/>
      <c r="H54" s="69" t="s">
        <v>111</v>
      </c>
      <c r="I54" s="24"/>
      <c r="J54" s="68">
        <f>G54*I54</f>
        <v>0</v>
      </c>
      <c r="K54" s="22"/>
      <c r="L54" s="41" t="s">
        <v>69</v>
      </c>
      <c r="M54" s="42" t="s">
        <v>70</v>
      </c>
      <c r="N54" s="42" t="s">
        <v>71</v>
      </c>
      <c r="O54" s="38"/>
    </row>
    <row r="55" spans="2:15" ht="15" customHeight="1">
      <c r="B55" s="32"/>
      <c r="C55" s="22"/>
      <c r="D55" s="22"/>
      <c r="E55" s="22" t="s">
        <v>73</v>
      </c>
      <c r="F55" s="69" t="s">
        <v>110</v>
      </c>
      <c r="G55" s="25"/>
      <c r="H55" s="69" t="s">
        <v>111</v>
      </c>
      <c r="I55" s="24"/>
      <c r="J55" s="68">
        <f>G55*I55</f>
        <v>0</v>
      </c>
      <c r="K55" s="22"/>
      <c r="L55" s="44">
        <v>10</v>
      </c>
      <c r="M55" s="45">
        <v>108</v>
      </c>
      <c r="N55" s="45">
        <v>10</v>
      </c>
      <c r="O55" s="43"/>
    </row>
    <row r="56" spans="2:15" ht="15" customHeight="1">
      <c r="B56" s="74"/>
      <c r="C56" s="22"/>
      <c r="D56" s="22"/>
      <c r="E56" s="22"/>
      <c r="F56" s="22"/>
      <c r="G56" s="22"/>
      <c r="H56" s="30" t="s">
        <v>64</v>
      </c>
      <c r="I56" s="71">
        <f>SUM(I52:I55)</f>
        <v>0</v>
      </c>
      <c r="J56" s="72" t="s">
        <v>77</v>
      </c>
      <c r="K56" s="22"/>
      <c r="L56" s="74"/>
      <c r="M56" s="74"/>
      <c r="N56" s="74"/>
      <c r="O56" s="74"/>
    </row>
    <row r="58" spans="2:15" ht="15" customHeight="1">
      <c r="B58" s="73" t="s">
        <v>79</v>
      </c>
      <c r="C58" s="21" t="s">
        <v>80</v>
      </c>
      <c r="D58" s="22"/>
      <c r="E58" s="22"/>
      <c r="F58" s="62">
        <v>1</v>
      </c>
      <c r="G58" s="63">
        <f>VLOOKUP(F58,C60:N62,12,FALSE)</f>
        <v>3500000</v>
      </c>
      <c r="H58" s="22"/>
      <c r="I58" s="64" t="s">
        <v>81</v>
      </c>
      <c r="J58" s="22"/>
      <c r="K58" s="22"/>
      <c r="L58" s="22"/>
      <c r="M58" s="22"/>
      <c r="N58" s="22"/>
      <c r="O58" s="22"/>
    </row>
    <row r="59" spans="2:15" ht="15" customHeight="1">
      <c r="B59" s="32"/>
      <c r="C59" s="22"/>
      <c r="D59" s="22"/>
      <c r="E59" s="22"/>
      <c r="F59" s="22"/>
      <c r="G59" s="22"/>
      <c r="H59" s="22"/>
      <c r="I59" s="22"/>
      <c r="J59" s="22"/>
      <c r="K59" s="22"/>
      <c r="L59" s="22"/>
      <c r="M59" s="22"/>
      <c r="N59" s="22"/>
      <c r="O59" s="22"/>
    </row>
    <row r="60" spans="2:15" ht="15" customHeight="1">
      <c r="B60" s="32"/>
      <c r="C60" s="22">
        <v>1</v>
      </c>
      <c r="D60" s="22" t="s">
        <v>53</v>
      </c>
      <c r="E60" s="22"/>
      <c r="F60" s="22"/>
      <c r="G60" s="25">
        <v>3500000</v>
      </c>
      <c r="H60" s="22"/>
      <c r="I60" s="22"/>
      <c r="J60" s="22"/>
      <c r="K60" s="22"/>
      <c r="L60" s="22"/>
      <c r="M60" s="22"/>
      <c r="N60" s="65">
        <f>G60</f>
        <v>3500000</v>
      </c>
      <c r="O60" s="22"/>
    </row>
    <row r="61" spans="2:15" ht="15" customHeight="1">
      <c r="B61" s="32"/>
      <c r="C61" s="22">
        <v>2</v>
      </c>
      <c r="D61" s="22" t="s">
        <v>54</v>
      </c>
      <c r="E61" s="22"/>
      <c r="F61" s="22"/>
      <c r="G61" s="27">
        <v>1.2E-2</v>
      </c>
      <c r="H61" s="22"/>
      <c r="I61" s="22"/>
      <c r="J61" s="22"/>
      <c r="K61" s="22"/>
      <c r="L61" s="22"/>
      <c r="M61" s="22"/>
      <c r="N61" s="65">
        <f>ROUND(G61*C12,0)</f>
        <v>3504000</v>
      </c>
      <c r="O61" s="22"/>
    </row>
    <row r="62" spans="2:15" ht="15" customHeight="1">
      <c r="B62" s="74"/>
      <c r="C62" s="22">
        <v>3</v>
      </c>
      <c r="D62" s="21" t="s">
        <v>82</v>
      </c>
      <c r="E62" s="22"/>
      <c r="F62" s="28" t="s">
        <v>83</v>
      </c>
      <c r="G62" s="25">
        <v>2500</v>
      </c>
      <c r="H62" s="28" t="s">
        <v>84</v>
      </c>
      <c r="I62" s="24">
        <v>1</v>
      </c>
      <c r="J62" s="28" t="s">
        <v>85</v>
      </c>
      <c r="K62" s="24">
        <v>150</v>
      </c>
      <c r="L62" s="28" t="s">
        <v>86</v>
      </c>
      <c r="M62" s="24">
        <v>12</v>
      </c>
      <c r="N62" s="65">
        <f>G62*I62*K62*M62</f>
        <v>4500000</v>
      </c>
      <c r="O62" s="22"/>
    </row>
    <row r="64" spans="2:15" ht="15" customHeight="1">
      <c r="B64" s="73" t="s">
        <v>87</v>
      </c>
      <c r="C64" s="21" t="s">
        <v>80</v>
      </c>
      <c r="D64" s="22"/>
      <c r="E64" s="22"/>
      <c r="F64" s="62">
        <v>1</v>
      </c>
      <c r="G64" s="63">
        <f>VLOOKUP(F64,C66:N68,12,FALSE)</f>
        <v>10000000</v>
      </c>
      <c r="H64" s="22"/>
      <c r="I64" s="64" t="s">
        <v>81</v>
      </c>
      <c r="J64" s="22"/>
      <c r="K64" s="22"/>
      <c r="L64" s="22"/>
      <c r="M64" s="22"/>
      <c r="N64" s="22"/>
      <c r="O64" s="22"/>
    </row>
    <row r="65" spans="2:15" ht="15" customHeight="1">
      <c r="B65" s="32"/>
      <c r="C65" s="22"/>
      <c r="D65" s="22"/>
      <c r="E65" s="22"/>
      <c r="F65" s="22"/>
      <c r="G65" s="22"/>
      <c r="H65" s="22"/>
      <c r="I65" s="22"/>
      <c r="J65" s="22"/>
      <c r="K65" s="22"/>
      <c r="L65" s="22"/>
      <c r="M65" s="22"/>
      <c r="N65" s="22"/>
      <c r="O65" s="22"/>
    </row>
    <row r="66" spans="2:15" ht="15" customHeight="1">
      <c r="B66" s="32"/>
      <c r="C66" s="22">
        <v>1</v>
      </c>
      <c r="D66" s="22" t="s">
        <v>53</v>
      </c>
      <c r="E66" s="22"/>
      <c r="F66" s="22"/>
      <c r="G66" s="25">
        <v>10000000</v>
      </c>
      <c r="H66" s="22"/>
      <c r="I66" s="22"/>
      <c r="J66" s="22"/>
      <c r="K66" s="22"/>
      <c r="L66" s="22"/>
      <c r="M66" s="22"/>
      <c r="N66" s="65">
        <f>G66</f>
        <v>10000000</v>
      </c>
      <c r="O66" s="22"/>
    </row>
    <row r="67" spans="2:15" ht="15" customHeight="1">
      <c r="B67" s="32"/>
      <c r="C67" s="22">
        <v>2</v>
      </c>
      <c r="D67" s="22" t="s">
        <v>54</v>
      </c>
      <c r="E67" s="22"/>
      <c r="F67" s="22"/>
      <c r="G67" s="27">
        <v>3.5000000000000003E-2</v>
      </c>
      <c r="H67" s="22"/>
      <c r="I67" s="22"/>
      <c r="J67" s="22"/>
      <c r="K67" s="22"/>
      <c r="L67" s="22"/>
      <c r="M67" s="22"/>
      <c r="N67" s="65">
        <f>ROUND(G67*C12,0)</f>
        <v>10220000</v>
      </c>
      <c r="O67" s="22"/>
    </row>
    <row r="68" spans="2:15" ht="15" customHeight="1">
      <c r="B68" s="74"/>
      <c r="C68" s="22">
        <v>3</v>
      </c>
      <c r="D68" s="21" t="s">
        <v>82</v>
      </c>
      <c r="E68" s="22"/>
      <c r="F68" s="28" t="s">
        <v>83</v>
      </c>
      <c r="G68" s="25">
        <v>2500</v>
      </c>
      <c r="H68" s="28" t="s">
        <v>84</v>
      </c>
      <c r="I68" s="24">
        <v>7</v>
      </c>
      <c r="J68" s="28" t="s">
        <v>85</v>
      </c>
      <c r="K68" s="24">
        <f>G7</f>
        <v>365</v>
      </c>
      <c r="L68" s="28" t="s">
        <v>86</v>
      </c>
      <c r="M68" s="24">
        <v>2</v>
      </c>
      <c r="N68" s="65">
        <f>G68*I68*K68*M68</f>
        <v>12775000</v>
      </c>
      <c r="O68" s="22"/>
    </row>
    <row r="71" spans="2:15" ht="15" customHeight="1">
      <c r="E71" s="17"/>
    </row>
  </sheetData>
  <phoneticPr fontId="3"/>
  <conditionalFormatting sqref="D16:D19 D21:D27">
    <cfRule type="dataBar" priority="1">
      <dataBar>
        <cfvo type="min"/>
        <cfvo type="max"/>
        <color rgb="FF638EC6"/>
      </dataBar>
      <extLst>
        <ext xmlns:x14="http://schemas.microsoft.com/office/spreadsheetml/2009/9/main" uri="{B025F937-C7B1-47D3-B67F-A62EFF666E3E}">
          <x14:id>{97ABED8B-4746-466B-8124-C6C54EDF74C2}</x14:id>
        </ext>
      </extLst>
    </cfRule>
  </conditionalFormatting>
  <dataValidations count="2">
    <dataValidation imeMode="off" allowBlank="1" showInputMessage="1" showErrorMessage="1" sqref="C6:C8 G7 L7 C11 I34:I36 F44:F45 I47:I50 G47:G50 I52:I55 G52:G55 L55:N55 G60:G62 I62 K62 M62 G66:G68 I68 K68 M68 G19 I19 G21:G27 I21:I27 G31:G33" xr:uid="{BA19FBAF-7D86-4D0C-93E3-236CE6D598C4}"/>
    <dataValidation type="list" allowBlank="1" showInputMessage="1" showErrorMessage="1" sqref="F42 F58 F64" xr:uid="{857290DE-51C8-47A1-B21A-F36794B199C0}">
      <formula1>"1,2,3"</formula1>
    </dataValidation>
  </dataValidations>
  <hyperlinks>
    <hyperlink ref="A1" location="index!A1" display="&lt;&lt;" xr:uid="{00000000-0004-0000-0100-000000000000}"/>
  </hyperlinks>
  <pageMargins left="0.70866141732283472" right="0.70866141732283472" top="0.74803149606299213" bottom="0.74803149606299213" header="0.31496062992125984" footer="0.31496062992125984"/>
  <pageSetup paperSize="9" scale="98" orientation="landscape" r:id="rId1"/>
  <extLst>
    <ext xmlns:x14="http://schemas.microsoft.com/office/spreadsheetml/2009/9/main" uri="{78C0D931-6437-407d-A8EE-F0AAD7539E65}">
      <x14:conditionalFormattings>
        <x14:conditionalFormatting xmlns:xm="http://schemas.microsoft.com/office/excel/2006/main">
          <x14:cfRule type="dataBar" id="{97ABED8B-4746-466B-8124-C6C54EDF74C2}">
            <x14:dataBar minLength="0" maxLength="100" border="1" negativeBarBorderColorSameAsPositive="0">
              <x14:cfvo type="autoMin"/>
              <x14:cfvo type="autoMax"/>
              <x14:borderColor rgb="FF638EC6"/>
              <x14:negativeFillColor rgb="FFFF0000"/>
              <x14:negativeBorderColor rgb="FFFF0000"/>
              <x14:axisColor rgb="FF000000"/>
            </x14:dataBar>
          </x14:cfRule>
          <xm:sqref>D16:D19 D21:D27</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53B33-C35D-4862-B923-852D59D6BF98}">
  <sheetPr>
    <tabColor rgb="FFFFFF00"/>
    <pageSetUpPr fitToPage="1"/>
  </sheetPr>
  <dimension ref="A1:O102"/>
  <sheetViews>
    <sheetView showGridLines="0" zoomScale="90" zoomScaleNormal="90" workbookViewId="0">
      <selection activeCell="G21" sqref="G21"/>
    </sheetView>
  </sheetViews>
  <sheetFormatPr defaultRowHeight="15" customHeight="1"/>
  <cols>
    <col min="1" max="1" width="3.69140625" style="2" customWidth="1"/>
    <col min="2" max="15" width="16.69140625" style="2" customWidth="1"/>
  </cols>
  <sheetData>
    <row r="1" spans="1:15" ht="19.149999999999999" thickBot="1">
      <c r="A1" s="4" t="s">
        <v>0</v>
      </c>
      <c r="B1" s="3" t="s">
        <v>125</v>
      </c>
      <c r="C1" s="3"/>
      <c r="D1" s="3"/>
      <c r="E1" s="3"/>
      <c r="F1" s="3"/>
      <c r="G1" s="3"/>
      <c r="H1" s="3"/>
      <c r="I1" s="3"/>
      <c r="J1" s="3"/>
      <c r="K1" s="3"/>
      <c r="L1" s="3"/>
      <c r="M1" s="3"/>
      <c r="N1" s="3"/>
      <c r="O1" s="115" t="str">
        <f>index!$C$7</f>
        <v>Sample Hotel</v>
      </c>
    </row>
    <row r="2" spans="1:15" ht="15" customHeight="1" thickTop="1"/>
    <row r="3" spans="1:15" ht="15" customHeight="1">
      <c r="A3" s="13" t="s">
        <v>139</v>
      </c>
      <c r="N3" s="82" t="s">
        <v>256</v>
      </c>
      <c r="O3" s="118">
        <f>DATE(index!$J$7,index!$L$7,index!$N$7)</f>
        <v>44635</v>
      </c>
    </row>
    <row r="4" spans="1:15" ht="15" customHeight="1">
      <c r="B4" s="82" t="s">
        <v>133</v>
      </c>
      <c r="C4" s="154" t="s">
        <v>257</v>
      </c>
      <c r="D4" s="152"/>
      <c r="E4" s="152"/>
      <c r="F4" s="152"/>
      <c r="G4" s="152"/>
    </row>
    <row r="6" spans="1:15" ht="15" customHeight="1">
      <c r="B6" s="22" t="s">
        <v>44</v>
      </c>
      <c r="C6" s="23">
        <f>'101 LS LY'!C6</f>
        <v>100</v>
      </c>
      <c r="D6" s="22" t="s">
        <v>45</v>
      </c>
      <c r="E6" s="22"/>
      <c r="F6" s="22"/>
      <c r="G6" s="22"/>
      <c r="H6" s="22"/>
      <c r="I6" s="22"/>
      <c r="J6" s="22"/>
      <c r="K6" s="22"/>
      <c r="L6" s="22"/>
      <c r="M6" s="22"/>
      <c r="N6" s="22"/>
      <c r="O6" s="22"/>
    </row>
    <row r="7" spans="1:15" ht="15" customHeight="1">
      <c r="B7" s="59" t="s">
        <v>122</v>
      </c>
      <c r="C7" s="48">
        <f>IF(E7&gt;0,E7,'101 LS LY'!C7)</f>
        <v>0.8</v>
      </c>
      <c r="D7" s="31" t="s">
        <v>48</v>
      </c>
      <c r="E7" s="116"/>
      <c r="F7" s="30" t="s">
        <v>46</v>
      </c>
      <c r="G7" s="29">
        <f>'101 LS LY'!G7</f>
        <v>365</v>
      </c>
      <c r="H7" s="22"/>
      <c r="I7" s="30" t="s">
        <v>47</v>
      </c>
      <c r="J7" s="23">
        <f>IF(L7&gt;0,L7,ROUND(C6*G7*C7,0))</f>
        <v>29200</v>
      </c>
      <c r="K7" s="31" t="s">
        <v>48</v>
      </c>
      <c r="L7" s="24"/>
      <c r="M7" s="31" t="s">
        <v>49</v>
      </c>
      <c r="N7" s="22"/>
      <c r="O7" s="22"/>
    </row>
    <row r="8" spans="1:15" ht="15" customHeight="1">
      <c r="B8" s="59" t="s">
        <v>38</v>
      </c>
      <c r="C8" s="63">
        <f>IF(E8&gt;0,E8,'101 LS LY'!C8)</f>
        <v>10100</v>
      </c>
      <c r="D8" s="31" t="s">
        <v>48</v>
      </c>
      <c r="E8" s="24">
        <v>10100</v>
      </c>
      <c r="F8" s="22"/>
      <c r="G8" s="22"/>
      <c r="H8" s="22"/>
      <c r="I8" s="22"/>
      <c r="J8" s="22"/>
      <c r="K8" s="22"/>
      <c r="L8" s="22"/>
      <c r="M8" s="22"/>
      <c r="N8" s="22"/>
      <c r="O8" s="22"/>
    </row>
    <row r="9" spans="1:15" ht="15" customHeight="1">
      <c r="B9" s="22"/>
      <c r="C9" s="22"/>
      <c r="D9" s="22"/>
      <c r="E9" s="22"/>
      <c r="F9" s="22"/>
      <c r="G9" s="22"/>
      <c r="H9" s="22"/>
      <c r="I9" s="22"/>
      <c r="J9" s="22"/>
      <c r="K9" s="22"/>
      <c r="L9" s="22"/>
      <c r="M9" s="22"/>
      <c r="N9" s="22"/>
      <c r="O9" s="22"/>
    </row>
    <row r="10" spans="1:15" ht="15" customHeight="1">
      <c r="B10" s="22" t="s">
        <v>51</v>
      </c>
      <c r="C10" s="46">
        <f>C8*J7</f>
        <v>294920000</v>
      </c>
      <c r="D10" s="22"/>
      <c r="E10" s="22"/>
      <c r="F10" s="22"/>
      <c r="G10" s="22"/>
      <c r="H10" s="22"/>
      <c r="I10" s="22"/>
      <c r="J10" s="22"/>
      <c r="K10" s="22"/>
      <c r="L10" s="22"/>
      <c r="M10" s="22"/>
      <c r="N10" s="22"/>
      <c r="O10" s="22"/>
    </row>
    <row r="11" spans="1:15" ht="15" customHeight="1">
      <c r="B11" s="22" t="s">
        <v>52</v>
      </c>
      <c r="C11" s="47">
        <v>0</v>
      </c>
      <c r="D11" s="22"/>
      <c r="E11" s="22"/>
      <c r="F11" s="22"/>
      <c r="G11" s="22"/>
      <c r="H11" s="22"/>
      <c r="I11" s="22"/>
      <c r="J11" s="22"/>
      <c r="K11" s="22"/>
      <c r="L11" s="22"/>
      <c r="M11" s="22"/>
      <c r="N11" s="22"/>
      <c r="O11" s="22"/>
    </row>
    <row r="12" spans="1:15" ht="15" customHeight="1">
      <c r="B12" s="58" t="s">
        <v>121</v>
      </c>
      <c r="C12" s="55">
        <f>C10+C11</f>
        <v>294920000</v>
      </c>
      <c r="D12" s="57"/>
      <c r="E12" s="57"/>
      <c r="F12" s="57"/>
      <c r="G12" s="57"/>
      <c r="H12" s="57"/>
      <c r="I12" s="57"/>
      <c r="J12" s="57"/>
      <c r="K12" s="57"/>
      <c r="L12" s="57"/>
      <c r="M12" s="57"/>
      <c r="N12" s="57"/>
      <c r="O12" s="57"/>
    </row>
    <row r="14" spans="1:15" ht="15" customHeight="1">
      <c r="B14" s="22"/>
      <c r="C14" s="21" t="s">
        <v>91</v>
      </c>
      <c r="D14" s="21" t="s">
        <v>92</v>
      </c>
      <c r="E14" s="22"/>
      <c r="F14" s="22"/>
      <c r="G14" s="22"/>
      <c r="H14" s="22"/>
      <c r="I14" s="22"/>
      <c r="J14" s="22"/>
      <c r="K14" s="22"/>
      <c r="L14" s="22"/>
      <c r="M14" s="22"/>
      <c r="N14" s="22"/>
      <c r="O14" s="22"/>
    </row>
    <row r="15" spans="1:15" ht="15" customHeight="1">
      <c r="B15" s="21" t="s">
        <v>13</v>
      </c>
      <c r="C15" s="26">
        <f>SUM(C16:C19)</f>
        <v>36500000</v>
      </c>
      <c r="D15" s="48">
        <f>C15/$C$12</f>
        <v>0.12376237623762376</v>
      </c>
      <c r="E15" s="22"/>
      <c r="F15" s="21" t="s">
        <v>94</v>
      </c>
      <c r="G15" s="22"/>
      <c r="H15" s="22"/>
      <c r="I15" s="22"/>
      <c r="J15" s="22"/>
      <c r="K15" s="22"/>
      <c r="L15" s="22"/>
      <c r="M15" s="22"/>
      <c r="N15" s="80" t="s">
        <v>126</v>
      </c>
      <c r="O15" s="22"/>
    </row>
    <row r="16" spans="1:15" ht="15" customHeight="1">
      <c r="B16" s="49" t="s">
        <v>88</v>
      </c>
      <c r="C16" s="50">
        <f>G42</f>
        <v>20000000</v>
      </c>
      <c r="D16" s="51">
        <f t="shared" ref="D16:D27" si="0">C16/$C$12</f>
        <v>6.7815000678150009E-2</v>
      </c>
      <c r="E16" s="22"/>
      <c r="F16" s="21" t="s">
        <v>95</v>
      </c>
      <c r="G16" s="22"/>
      <c r="H16" s="22"/>
      <c r="I16" s="22"/>
      <c r="J16" s="22"/>
      <c r="K16" s="22"/>
      <c r="L16" s="22"/>
      <c r="M16" s="22"/>
      <c r="N16" s="80" t="s">
        <v>126</v>
      </c>
      <c r="O16" s="22"/>
    </row>
    <row r="17" spans="2:15" ht="15" customHeight="1">
      <c r="B17" s="49" t="s">
        <v>89</v>
      </c>
      <c r="C17" s="50">
        <f>G58</f>
        <v>3500000</v>
      </c>
      <c r="D17" s="51">
        <f t="shared" si="0"/>
        <v>1.1867625118676251E-2</v>
      </c>
      <c r="E17" s="22"/>
      <c r="F17" s="22"/>
      <c r="G17" s="22"/>
      <c r="H17" s="22"/>
      <c r="I17" s="22"/>
      <c r="J17" s="22"/>
      <c r="K17" s="22"/>
      <c r="L17" s="22"/>
      <c r="M17" s="22"/>
      <c r="N17" s="80" t="s">
        <v>126</v>
      </c>
      <c r="O17" s="79" t="s">
        <v>127</v>
      </c>
    </row>
    <row r="18" spans="2:15" ht="15" customHeight="1">
      <c r="B18" s="49" t="s">
        <v>90</v>
      </c>
      <c r="C18" s="50">
        <f>G64</f>
        <v>10000000</v>
      </c>
      <c r="D18" s="51">
        <f t="shared" si="0"/>
        <v>3.3907500339075004E-2</v>
      </c>
      <c r="E18" s="22"/>
      <c r="F18" s="22"/>
      <c r="G18" s="22"/>
      <c r="H18" s="22"/>
      <c r="I18" s="22"/>
      <c r="J18" s="22"/>
      <c r="K18" s="22"/>
      <c r="L18" s="22"/>
      <c r="M18" s="22"/>
      <c r="N18" s="80" t="s">
        <v>126</v>
      </c>
      <c r="O18" s="22"/>
    </row>
    <row r="19" spans="2:15" ht="15" customHeight="1">
      <c r="B19" s="49" t="s">
        <v>96</v>
      </c>
      <c r="C19" s="50">
        <f>IF(I19&gt;0,I19,ROUND(C16*G19,0))</f>
        <v>3000000</v>
      </c>
      <c r="D19" s="51">
        <f t="shared" si="0"/>
        <v>1.0172250101722501E-2</v>
      </c>
      <c r="E19" s="22"/>
      <c r="F19" s="28" t="s">
        <v>106</v>
      </c>
      <c r="G19" s="27">
        <v>0.15</v>
      </c>
      <c r="H19" s="28" t="s">
        <v>97</v>
      </c>
      <c r="I19" s="25"/>
      <c r="J19" s="22"/>
      <c r="K19" s="22"/>
      <c r="L19" s="22"/>
      <c r="M19" s="22"/>
      <c r="N19" s="80" t="s">
        <v>126</v>
      </c>
      <c r="O19" s="22"/>
    </row>
    <row r="20" spans="2:15" ht="15" customHeight="1">
      <c r="B20" s="21" t="s">
        <v>93</v>
      </c>
      <c r="C20" s="26">
        <f>SUM(C21:C27)</f>
        <v>109850400</v>
      </c>
      <c r="D20" s="48">
        <f>C20/$C$12</f>
        <v>0.37247524752475247</v>
      </c>
      <c r="E20" s="22"/>
      <c r="F20" s="22"/>
      <c r="G20" s="22"/>
      <c r="H20" s="22"/>
      <c r="I20" s="22"/>
      <c r="J20" s="22"/>
      <c r="K20" s="22"/>
      <c r="L20" s="22"/>
      <c r="M20" s="22"/>
      <c r="N20" s="22"/>
      <c r="O20" s="22"/>
    </row>
    <row r="21" spans="2:15" ht="15" customHeight="1">
      <c r="B21" s="83" t="s">
        <v>99</v>
      </c>
      <c r="C21" s="84">
        <f>$J$7*IF(J21&gt;0,J21,G21)</f>
        <v>12994000</v>
      </c>
      <c r="D21" s="85">
        <f t="shared" si="0"/>
        <v>4.4059405940594057E-2</v>
      </c>
      <c r="E21" s="86"/>
      <c r="F21" s="90" t="s">
        <v>124</v>
      </c>
      <c r="G21" s="91">
        <f>'101 LS LY'!L21</f>
        <v>445</v>
      </c>
      <c r="H21" s="86" t="s">
        <v>134</v>
      </c>
      <c r="I21" s="92" t="s">
        <v>135</v>
      </c>
      <c r="J21" s="25"/>
      <c r="K21" s="86"/>
      <c r="L21" s="86"/>
      <c r="M21" s="86"/>
      <c r="N21" s="79" t="s">
        <v>128</v>
      </c>
      <c r="O21" s="86"/>
    </row>
    <row r="22" spans="2:15" ht="15" customHeight="1">
      <c r="B22" s="83" t="s">
        <v>100</v>
      </c>
      <c r="C22" s="84">
        <f t="shared" ref="C22" si="1">$J$7*IF(J22&gt;0,J22,G22)</f>
        <v>16994400</v>
      </c>
      <c r="D22" s="85">
        <f t="shared" si="0"/>
        <v>5.7623762376237626E-2</v>
      </c>
      <c r="E22" s="86"/>
      <c r="F22" s="90" t="s">
        <v>124</v>
      </c>
      <c r="G22" s="91">
        <f>'101 LS LY'!L22</f>
        <v>582</v>
      </c>
      <c r="H22" s="86" t="s">
        <v>134</v>
      </c>
      <c r="I22" s="93" t="s">
        <v>135</v>
      </c>
      <c r="J22" s="25"/>
      <c r="K22" s="86"/>
      <c r="L22" s="86"/>
      <c r="M22" s="86"/>
      <c r="N22" s="79" t="s">
        <v>128</v>
      </c>
      <c r="O22" s="86"/>
    </row>
    <row r="23" spans="2:15" ht="15" customHeight="1">
      <c r="B23" s="83" t="s">
        <v>101</v>
      </c>
      <c r="C23" s="84">
        <f>MAX($J$7,M23)*IF(J23&gt;0,J23,G23)</f>
        <v>24002400</v>
      </c>
      <c r="D23" s="85">
        <f t="shared" si="0"/>
        <v>8.1386138613861389E-2</v>
      </c>
      <c r="E23" s="86"/>
      <c r="F23" s="90" t="s">
        <v>124</v>
      </c>
      <c r="G23" s="91">
        <f>'101 LS LY'!L23</f>
        <v>822</v>
      </c>
      <c r="H23" s="86" t="s">
        <v>134</v>
      </c>
      <c r="I23" s="93" t="s">
        <v>135</v>
      </c>
      <c r="J23" s="25"/>
      <c r="K23" s="87" t="s">
        <v>143</v>
      </c>
      <c r="L23" s="27">
        <v>0.4</v>
      </c>
      <c r="M23" s="95">
        <f>C6*G7*L23</f>
        <v>14600</v>
      </c>
      <c r="N23" s="79" t="s">
        <v>128</v>
      </c>
      <c r="O23" s="86"/>
    </row>
    <row r="24" spans="2:15" ht="15" customHeight="1">
      <c r="B24" s="83" t="s">
        <v>102</v>
      </c>
      <c r="C24" s="84">
        <f>G70</f>
        <v>32441200</v>
      </c>
      <c r="D24" s="85">
        <f t="shared" si="0"/>
        <v>0.11</v>
      </c>
      <c r="E24" s="86"/>
      <c r="F24" s="90" t="s">
        <v>124</v>
      </c>
      <c r="G24" s="91">
        <f>'101 LS LY'!L24</f>
        <v>1100</v>
      </c>
      <c r="H24" s="86" t="s">
        <v>134</v>
      </c>
      <c r="I24" s="94" t="s">
        <v>136</v>
      </c>
      <c r="J24" s="94"/>
      <c r="K24" s="86"/>
      <c r="L24" s="86"/>
      <c r="M24" s="86"/>
      <c r="N24" s="78" t="s">
        <v>129</v>
      </c>
      <c r="O24" s="86"/>
    </row>
    <row r="25" spans="2:15" ht="15" customHeight="1">
      <c r="B25" s="49" t="s">
        <v>103</v>
      </c>
      <c r="C25" s="50">
        <f>$J$7*IF(J25&gt;0,J25,G25)</f>
        <v>17520000</v>
      </c>
      <c r="D25" s="51">
        <f t="shared" si="0"/>
        <v>5.9405940594059403E-2</v>
      </c>
      <c r="E25" s="22"/>
      <c r="F25" s="22"/>
      <c r="G25" s="63">
        <f>'101 LS LY'!L25</f>
        <v>600</v>
      </c>
      <c r="H25" s="22" t="s">
        <v>134</v>
      </c>
      <c r="I25" s="92" t="s">
        <v>135</v>
      </c>
      <c r="J25" s="25"/>
      <c r="K25" s="22"/>
      <c r="L25" s="22"/>
      <c r="M25" s="22"/>
      <c r="N25" s="79" t="s">
        <v>128</v>
      </c>
      <c r="O25" s="22"/>
    </row>
    <row r="26" spans="2:15" ht="15" customHeight="1">
      <c r="B26" s="49" t="s">
        <v>104</v>
      </c>
      <c r="C26" s="50">
        <f>IF(I26&gt;0,I26,ROUND($C$12*G26,0))</f>
        <v>2949200</v>
      </c>
      <c r="D26" s="51">
        <f t="shared" si="0"/>
        <v>0.01</v>
      </c>
      <c r="E26" s="22"/>
      <c r="F26" s="114" t="s">
        <v>107</v>
      </c>
      <c r="G26" s="27">
        <v>0.01</v>
      </c>
      <c r="H26" s="114" t="s">
        <v>97</v>
      </c>
      <c r="I26" s="25"/>
      <c r="J26" s="22"/>
      <c r="K26" s="22"/>
      <c r="L26" s="22"/>
      <c r="M26" s="22"/>
      <c r="N26" s="78" t="s">
        <v>129</v>
      </c>
      <c r="O26" s="22"/>
    </row>
    <row r="27" spans="2:15" ht="15" customHeight="1">
      <c r="B27" s="49" t="s">
        <v>105</v>
      </c>
      <c r="C27" s="50">
        <f t="shared" ref="C27" si="2">IF(I27&gt;0,I27,ROUND($C$12*G27,0))</f>
        <v>2949200</v>
      </c>
      <c r="D27" s="51">
        <f t="shared" si="0"/>
        <v>0.01</v>
      </c>
      <c r="E27" s="22"/>
      <c r="F27" s="53" t="s">
        <v>107</v>
      </c>
      <c r="G27" s="27">
        <v>0.01</v>
      </c>
      <c r="H27" s="53" t="s">
        <v>97</v>
      </c>
      <c r="I27" s="25"/>
      <c r="J27" s="22"/>
      <c r="K27" s="22"/>
      <c r="L27" s="22"/>
      <c r="M27" s="22"/>
      <c r="N27" s="78" t="s">
        <v>129</v>
      </c>
      <c r="O27" s="22"/>
    </row>
    <row r="28" spans="2:15" ht="15" customHeight="1">
      <c r="B28" s="22"/>
      <c r="C28" s="22"/>
      <c r="D28" s="22"/>
      <c r="E28" s="22"/>
      <c r="F28" s="22"/>
      <c r="G28" s="22"/>
      <c r="H28" s="22"/>
      <c r="I28" s="22"/>
      <c r="J28" s="22"/>
      <c r="K28" s="22"/>
      <c r="L28" s="22"/>
      <c r="M28" s="22"/>
      <c r="N28" s="22"/>
      <c r="O28" s="22"/>
    </row>
    <row r="29" spans="2:15" ht="15" customHeight="1">
      <c r="B29" s="54" t="s">
        <v>112</v>
      </c>
      <c r="C29" s="55">
        <f>C12-SUM(C15,C20)</f>
        <v>148569600</v>
      </c>
      <c r="D29" s="56">
        <f>C29/$C$12</f>
        <v>0.50376237623762377</v>
      </c>
      <c r="E29" s="57"/>
      <c r="F29" s="57"/>
      <c r="G29" s="57"/>
      <c r="H29" s="57"/>
      <c r="I29" s="57"/>
      <c r="J29" s="57"/>
      <c r="K29" s="57"/>
      <c r="L29" s="57"/>
      <c r="M29" s="57"/>
      <c r="N29" s="57"/>
      <c r="O29" s="57"/>
    </row>
    <row r="31" spans="2:15" ht="15" customHeight="1">
      <c r="B31" s="21" t="s">
        <v>113</v>
      </c>
      <c r="C31" s="26">
        <f>$C$12*G31</f>
        <v>0</v>
      </c>
      <c r="D31" s="48">
        <f>C31/$C$12</f>
        <v>0</v>
      </c>
      <c r="E31" s="22"/>
      <c r="F31" s="28" t="s">
        <v>107</v>
      </c>
      <c r="G31" s="27"/>
      <c r="H31" s="22"/>
      <c r="I31" s="22"/>
      <c r="J31" s="28" t="s">
        <v>130</v>
      </c>
      <c r="K31" s="153" t="s">
        <v>170</v>
      </c>
      <c r="L31" s="153"/>
      <c r="M31" s="153"/>
      <c r="N31" s="78" t="s">
        <v>129</v>
      </c>
      <c r="O31" s="22"/>
    </row>
    <row r="32" spans="2:15" ht="15" customHeight="1">
      <c r="B32" s="21" t="s">
        <v>114</v>
      </c>
      <c r="C32" s="26">
        <f t="shared" ref="C32:C33" si="3">$C$12*G32</f>
        <v>0</v>
      </c>
      <c r="D32" s="48">
        <f t="shared" ref="D32:D36" si="4">C32/$C$12</f>
        <v>0</v>
      </c>
      <c r="E32" s="22"/>
      <c r="F32" s="52" t="s">
        <v>107</v>
      </c>
      <c r="G32" s="27"/>
      <c r="H32" s="22"/>
      <c r="I32" s="22"/>
      <c r="J32" s="52" t="s">
        <v>131</v>
      </c>
      <c r="K32" s="153" t="s">
        <v>170</v>
      </c>
      <c r="L32" s="153"/>
      <c r="M32" s="153"/>
      <c r="N32" s="78" t="s">
        <v>129</v>
      </c>
      <c r="O32" s="22"/>
    </row>
    <row r="33" spans="2:15" ht="15" customHeight="1">
      <c r="B33" s="21" t="s">
        <v>115</v>
      </c>
      <c r="C33" s="26">
        <f t="shared" si="3"/>
        <v>0</v>
      </c>
      <c r="D33" s="48">
        <f t="shared" si="4"/>
        <v>0</v>
      </c>
      <c r="E33" s="22"/>
      <c r="F33" s="53" t="s">
        <v>107</v>
      </c>
      <c r="G33" s="27"/>
      <c r="H33" s="22"/>
      <c r="I33" s="22"/>
      <c r="J33" s="52" t="s">
        <v>131</v>
      </c>
      <c r="K33" s="153" t="s">
        <v>170</v>
      </c>
      <c r="L33" s="153"/>
      <c r="M33" s="153"/>
      <c r="N33" s="78" t="s">
        <v>129</v>
      </c>
      <c r="O33" s="22"/>
    </row>
    <row r="34" spans="2:15" ht="15" customHeight="1">
      <c r="B34" s="21" t="s">
        <v>116</v>
      </c>
      <c r="C34" s="26">
        <f>I34</f>
        <v>0</v>
      </c>
      <c r="D34" s="48">
        <f t="shared" si="4"/>
        <v>0</v>
      </c>
      <c r="E34" s="22"/>
      <c r="F34" s="22"/>
      <c r="G34" s="22"/>
      <c r="H34" s="28" t="s">
        <v>119</v>
      </c>
      <c r="I34" s="25"/>
      <c r="J34" s="52" t="s">
        <v>131</v>
      </c>
      <c r="K34" s="153" t="s">
        <v>170</v>
      </c>
      <c r="L34" s="153"/>
      <c r="M34" s="153"/>
      <c r="N34" s="80" t="s">
        <v>126</v>
      </c>
      <c r="O34" s="22"/>
    </row>
    <row r="35" spans="2:15" ht="15" customHeight="1">
      <c r="B35" s="21" t="s">
        <v>117</v>
      </c>
      <c r="C35" s="26">
        <f t="shared" ref="C35:C36" si="5">I35</f>
        <v>0</v>
      </c>
      <c r="D35" s="48">
        <f t="shared" si="4"/>
        <v>0</v>
      </c>
      <c r="E35" s="22"/>
      <c r="F35" s="22"/>
      <c r="G35" s="22"/>
      <c r="H35" s="52" t="s">
        <v>119</v>
      </c>
      <c r="I35" s="25"/>
      <c r="J35" s="52" t="s">
        <v>131</v>
      </c>
      <c r="K35" s="153" t="s">
        <v>170</v>
      </c>
      <c r="L35" s="153"/>
      <c r="M35" s="153"/>
      <c r="N35" s="80" t="s">
        <v>126</v>
      </c>
      <c r="O35" s="22"/>
    </row>
    <row r="36" spans="2:15" ht="15" customHeight="1">
      <c r="B36" s="21" t="s">
        <v>118</v>
      </c>
      <c r="C36" s="26">
        <f t="shared" si="5"/>
        <v>0</v>
      </c>
      <c r="D36" s="48">
        <f t="shared" si="4"/>
        <v>0</v>
      </c>
      <c r="E36" s="22"/>
      <c r="F36" s="22"/>
      <c r="G36" s="22"/>
      <c r="H36" s="53" t="s">
        <v>119</v>
      </c>
      <c r="I36" s="25"/>
      <c r="J36" s="52" t="s">
        <v>131</v>
      </c>
      <c r="K36" s="153" t="s">
        <v>170</v>
      </c>
      <c r="L36" s="153"/>
      <c r="M36" s="153"/>
      <c r="N36" s="80" t="s">
        <v>126</v>
      </c>
      <c r="O36" s="22"/>
    </row>
    <row r="38" spans="2:15" ht="15" customHeight="1">
      <c r="B38" s="54" t="s">
        <v>120</v>
      </c>
      <c r="C38" s="55">
        <f>C29-SUM(C31:C36)</f>
        <v>148569600</v>
      </c>
      <c r="D38" s="56">
        <f>C38/$C$12</f>
        <v>0.50376237623762377</v>
      </c>
      <c r="E38" s="57"/>
      <c r="F38" s="57"/>
      <c r="G38" s="57"/>
      <c r="H38" s="57"/>
      <c r="I38" s="57"/>
      <c r="J38" s="57"/>
      <c r="K38" s="57"/>
      <c r="L38" s="57"/>
      <c r="M38" s="57"/>
      <c r="N38" s="57"/>
      <c r="O38" s="57"/>
    </row>
    <row r="42" spans="2:15" ht="15" customHeight="1">
      <c r="B42" s="73" t="s">
        <v>78</v>
      </c>
      <c r="C42" s="21" t="s">
        <v>80</v>
      </c>
      <c r="D42" s="22"/>
      <c r="E42" s="22"/>
      <c r="F42" s="62">
        <f>'101 LS LY'!F42</f>
        <v>1</v>
      </c>
      <c r="G42" s="63">
        <f>VLOOKUP(F42,C44:J46,8,FALSE)</f>
        <v>20000000</v>
      </c>
      <c r="H42" s="22"/>
      <c r="I42" s="64" t="s">
        <v>98</v>
      </c>
      <c r="J42" s="22"/>
      <c r="K42" s="22"/>
      <c r="L42" s="22"/>
      <c r="M42" s="22"/>
      <c r="N42" s="22"/>
      <c r="O42" s="22"/>
    </row>
    <row r="43" spans="2:15" ht="15" customHeight="1">
      <c r="B43" s="32"/>
      <c r="C43" s="22"/>
      <c r="D43" s="22"/>
      <c r="E43" s="22"/>
      <c r="F43" s="22"/>
      <c r="G43" s="22"/>
      <c r="H43" s="22"/>
      <c r="I43" s="22"/>
      <c r="J43" s="22"/>
      <c r="K43" s="22"/>
      <c r="L43" s="22"/>
      <c r="M43" s="22"/>
      <c r="N43" s="22"/>
      <c r="O43" s="22"/>
    </row>
    <row r="44" spans="2:15" ht="15" customHeight="1">
      <c r="B44" s="32"/>
      <c r="C44" s="22">
        <v>1</v>
      </c>
      <c r="D44" s="22" t="s">
        <v>53</v>
      </c>
      <c r="E44" s="22"/>
      <c r="F44" s="25">
        <v>20000000</v>
      </c>
      <c r="G44" s="22"/>
      <c r="H44" s="22"/>
      <c r="I44" s="22"/>
      <c r="J44" s="65">
        <f>F44</f>
        <v>20000000</v>
      </c>
      <c r="K44" s="22"/>
      <c r="L44" s="22"/>
      <c r="M44" s="22"/>
      <c r="N44" s="22"/>
      <c r="O44" s="22"/>
    </row>
    <row r="45" spans="2:15" ht="15" customHeight="1">
      <c r="B45" s="32"/>
      <c r="C45" s="22">
        <v>2</v>
      </c>
      <c r="D45" s="22" t="s">
        <v>54</v>
      </c>
      <c r="E45" s="22"/>
      <c r="F45" s="27">
        <v>0.1</v>
      </c>
      <c r="G45" s="22"/>
      <c r="H45" s="22"/>
      <c r="I45" s="22"/>
      <c r="J45" s="65">
        <f>ROUND(F45*C12,0)</f>
        <v>29492000</v>
      </c>
      <c r="K45" s="22"/>
      <c r="L45" s="22"/>
      <c r="M45" s="22"/>
      <c r="N45" s="22"/>
      <c r="O45" s="22"/>
    </row>
    <row r="46" spans="2:15" ht="15" customHeight="1">
      <c r="B46" s="32"/>
      <c r="C46" s="22">
        <v>3</v>
      </c>
      <c r="D46" s="22" t="s">
        <v>55</v>
      </c>
      <c r="E46" s="22"/>
      <c r="F46" s="22"/>
      <c r="G46" s="22"/>
      <c r="H46" s="28" t="s">
        <v>40</v>
      </c>
      <c r="I46" s="66">
        <f>I51+I56/'101 LS LY'!N53</f>
        <v>10</v>
      </c>
      <c r="J46" s="67">
        <f>SUM(J47:J55)</f>
        <v>29970000</v>
      </c>
      <c r="K46" s="22"/>
      <c r="L46" s="22"/>
      <c r="M46" s="22"/>
      <c r="N46" s="22"/>
      <c r="O46" s="22"/>
    </row>
    <row r="47" spans="2:15" ht="15" customHeight="1">
      <c r="B47" s="32"/>
      <c r="C47" s="22"/>
      <c r="D47" s="22"/>
      <c r="E47" s="22" t="s">
        <v>57</v>
      </c>
      <c r="F47" s="30" t="s">
        <v>58</v>
      </c>
      <c r="G47" s="25"/>
      <c r="H47" s="30" t="s">
        <v>59</v>
      </c>
      <c r="I47" s="24">
        <v>1</v>
      </c>
      <c r="J47" s="68">
        <f>G47*I47</f>
        <v>0</v>
      </c>
      <c r="K47" s="22"/>
      <c r="L47" s="22"/>
      <c r="M47" s="22"/>
      <c r="N47" s="22"/>
      <c r="O47" s="22"/>
    </row>
    <row r="48" spans="2:15" ht="15" customHeight="1">
      <c r="B48" s="32"/>
      <c r="C48" s="22"/>
      <c r="D48" s="22"/>
      <c r="E48" s="22" t="s">
        <v>60</v>
      </c>
      <c r="F48" s="69" t="s">
        <v>109</v>
      </c>
      <c r="G48" s="25"/>
      <c r="H48" s="69" t="s">
        <v>108</v>
      </c>
      <c r="I48" s="24"/>
      <c r="J48" s="68">
        <f t="shared" ref="J48:J49" si="6">G48*I48</f>
        <v>0</v>
      </c>
      <c r="K48" s="22"/>
      <c r="L48" s="22"/>
      <c r="M48" s="22"/>
      <c r="N48" s="22"/>
      <c r="O48" s="22"/>
    </row>
    <row r="49" spans="2:15" ht="15" customHeight="1">
      <c r="B49" s="32"/>
      <c r="C49" s="22"/>
      <c r="D49" s="22"/>
      <c r="E49" s="22" t="s">
        <v>62</v>
      </c>
      <c r="F49" s="69" t="s">
        <v>109</v>
      </c>
      <c r="G49" s="25"/>
      <c r="H49" s="69" t="s">
        <v>108</v>
      </c>
      <c r="I49" s="24"/>
      <c r="J49" s="68">
        <f t="shared" si="6"/>
        <v>0</v>
      </c>
      <c r="K49" s="22"/>
      <c r="L49" s="22"/>
      <c r="M49" s="22"/>
      <c r="N49" s="22"/>
      <c r="O49" s="22"/>
    </row>
    <row r="50" spans="2:15" ht="15" customHeight="1">
      <c r="B50" s="32"/>
      <c r="C50" s="22"/>
      <c r="D50" s="22"/>
      <c r="E50" s="22" t="s">
        <v>63</v>
      </c>
      <c r="F50" s="69" t="s">
        <v>109</v>
      </c>
      <c r="G50" s="25">
        <v>3330000</v>
      </c>
      <c r="H50" s="69" t="s">
        <v>108</v>
      </c>
      <c r="I50" s="24">
        <v>9</v>
      </c>
      <c r="J50" s="68">
        <f>G50*I50</f>
        <v>29970000</v>
      </c>
      <c r="K50" s="22"/>
      <c r="L50" s="22"/>
      <c r="M50" s="22"/>
      <c r="N50" s="22"/>
      <c r="O50" s="22"/>
    </row>
    <row r="51" spans="2:15" ht="15" customHeight="1">
      <c r="B51" s="32"/>
      <c r="C51" s="22"/>
      <c r="D51" s="22"/>
      <c r="E51" s="22"/>
      <c r="F51" s="22"/>
      <c r="G51" s="70"/>
      <c r="H51" s="30" t="s">
        <v>64</v>
      </c>
      <c r="I51" s="71">
        <f>SUM(I47:I50)</f>
        <v>10</v>
      </c>
      <c r="J51" s="72" t="s">
        <v>76</v>
      </c>
      <c r="K51" s="22"/>
      <c r="L51" s="22"/>
      <c r="M51" s="22"/>
      <c r="N51" s="22"/>
      <c r="O51" s="22"/>
    </row>
    <row r="52" spans="2:15" ht="15" customHeight="1">
      <c r="B52" s="32"/>
      <c r="C52" s="22"/>
      <c r="D52" s="22"/>
      <c r="E52" s="22" t="s">
        <v>65</v>
      </c>
      <c r="F52" s="30" t="s">
        <v>66</v>
      </c>
      <c r="G52" s="25"/>
      <c r="H52" s="30" t="s">
        <v>67</v>
      </c>
      <c r="I52" s="24"/>
      <c r="J52" s="68">
        <f>G52*I52</f>
        <v>0</v>
      </c>
      <c r="K52" s="22"/>
      <c r="L52" s="22"/>
      <c r="M52" s="22"/>
      <c r="N52" s="22"/>
      <c r="O52" s="22"/>
    </row>
    <row r="53" spans="2:15" ht="15" customHeight="1">
      <c r="B53" s="32"/>
      <c r="C53" s="22"/>
      <c r="D53" s="22"/>
      <c r="E53" s="22" t="s">
        <v>68</v>
      </c>
      <c r="F53" s="69" t="s">
        <v>110</v>
      </c>
      <c r="G53" s="25"/>
      <c r="H53" s="69" t="s">
        <v>111</v>
      </c>
      <c r="I53" s="24"/>
      <c r="J53" s="68">
        <f>G53*I53</f>
        <v>0</v>
      </c>
      <c r="K53" s="22"/>
      <c r="L53" s="22"/>
      <c r="M53" s="22"/>
      <c r="N53" s="22"/>
      <c r="O53" s="22"/>
    </row>
    <row r="54" spans="2:15" ht="15" customHeight="1">
      <c r="B54" s="32"/>
      <c r="C54" s="22"/>
      <c r="D54" s="22"/>
      <c r="E54" s="22" t="s">
        <v>72</v>
      </c>
      <c r="F54" s="69" t="s">
        <v>110</v>
      </c>
      <c r="G54" s="25"/>
      <c r="H54" s="69" t="s">
        <v>111</v>
      </c>
      <c r="I54" s="24"/>
      <c r="J54" s="68">
        <f>G54*I54</f>
        <v>0</v>
      </c>
      <c r="K54" s="22"/>
      <c r="L54" s="22"/>
      <c r="M54" s="22"/>
      <c r="N54" s="22"/>
      <c r="O54" s="22"/>
    </row>
    <row r="55" spans="2:15" ht="15" customHeight="1">
      <c r="B55" s="32"/>
      <c r="C55" s="22"/>
      <c r="D55" s="22"/>
      <c r="E55" s="22" t="s">
        <v>73</v>
      </c>
      <c r="F55" s="69" t="s">
        <v>110</v>
      </c>
      <c r="G55" s="25"/>
      <c r="H55" s="69" t="s">
        <v>111</v>
      </c>
      <c r="I55" s="24"/>
      <c r="J55" s="68">
        <f>G55*I55</f>
        <v>0</v>
      </c>
      <c r="K55" s="22"/>
      <c r="L55" s="22"/>
      <c r="M55" s="22"/>
      <c r="N55" s="22"/>
      <c r="O55" s="22"/>
    </row>
    <row r="56" spans="2:15" ht="15" customHeight="1">
      <c r="B56" s="74"/>
      <c r="C56" s="22"/>
      <c r="D56" s="22"/>
      <c r="E56" s="22"/>
      <c r="F56" s="22"/>
      <c r="G56" s="22"/>
      <c r="H56" s="30" t="s">
        <v>64</v>
      </c>
      <c r="I56" s="71">
        <f>SUM(I52:I55)</f>
        <v>0</v>
      </c>
      <c r="J56" s="72" t="s">
        <v>77</v>
      </c>
      <c r="K56" s="22"/>
      <c r="L56" s="74"/>
      <c r="M56" s="74"/>
      <c r="N56" s="74"/>
      <c r="O56" s="74"/>
    </row>
    <row r="58" spans="2:15" ht="15" customHeight="1">
      <c r="B58" s="73" t="s">
        <v>79</v>
      </c>
      <c r="C58" s="21" t="s">
        <v>80</v>
      </c>
      <c r="D58" s="22"/>
      <c r="E58" s="22"/>
      <c r="F58" s="62">
        <f>'101 LS LY'!F58</f>
        <v>1</v>
      </c>
      <c r="G58" s="63">
        <f>VLOOKUP(F58,C60:N62,12,FALSE)</f>
        <v>3500000</v>
      </c>
      <c r="H58" s="22"/>
      <c r="I58" s="64" t="s">
        <v>81</v>
      </c>
      <c r="J58" s="22"/>
      <c r="K58" s="22"/>
      <c r="L58" s="22"/>
      <c r="M58" s="22"/>
      <c r="N58" s="22"/>
      <c r="O58" s="22"/>
    </row>
    <row r="59" spans="2:15" ht="15" customHeight="1">
      <c r="B59" s="32"/>
      <c r="C59" s="22"/>
      <c r="D59" s="22"/>
      <c r="E59" s="22"/>
      <c r="F59" s="22"/>
      <c r="G59" s="22"/>
      <c r="H59" s="22"/>
      <c r="I59" s="22"/>
      <c r="J59" s="22"/>
      <c r="K59" s="22"/>
      <c r="L59" s="22"/>
      <c r="M59" s="22"/>
      <c r="N59" s="22"/>
      <c r="O59" s="22"/>
    </row>
    <row r="60" spans="2:15" ht="15" customHeight="1">
      <c r="B60" s="32"/>
      <c r="C60" s="22">
        <v>1</v>
      </c>
      <c r="D60" s="22" t="s">
        <v>53</v>
      </c>
      <c r="E60" s="22"/>
      <c r="F60" s="22"/>
      <c r="G60" s="25">
        <v>3500000</v>
      </c>
      <c r="H60" s="22"/>
      <c r="I60" s="22"/>
      <c r="J60" s="22"/>
      <c r="K60" s="22"/>
      <c r="L60" s="22"/>
      <c r="M60" s="22"/>
      <c r="N60" s="65">
        <f>G60</f>
        <v>3500000</v>
      </c>
      <c r="O60" s="22"/>
    </row>
    <row r="61" spans="2:15" ht="15" customHeight="1">
      <c r="B61" s="32"/>
      <c r="C61" s="22">
        <v>2</v>
      </c>
      <c r="D61" s="22" t="s">
        <v>54</v>
      </c>
      <c r="E61" s="22"/>
      <c r="F61" s="22"/>
      <c r="G61" s="27">
        <v>1.2E-2</v>
      </c>
      <c r="H61" s="22"/>
      <c r="I61" s="22"/>
      <c r="J61" s="22"/>
      <c r="K61" s="22"/>
      <c r="L61" s="22"/>
      <c r="M61" s="22"/>
      <c r="N61" s="65">
        <f>ROUND(G61*C12,0)</f>
        <v>3539040</v>
      </c>
      <c r="O61" s="22"/>
    </row>
    <row r="62" spans="2:15" ht="15" customHeight="1">
      <c r="B62" s="74"/>
      <c r="C62" s="22">
        <v>3</v>
      </c>
      <c r="D62" s="21" t="s">
        <v>82</v>
      </c>
      <c r="E62" s="22"/>
      <c r="F62" s="28" t="s">
        <v>83</v>
      </c>
      <c r="G62" s="25">
        <v>2500</v>
      </c>
      <c r="H62" s="28" t="s">
        <v>84</v>
      </c>
      <c r="I62" s="24">
        <v>1</v>
      </c>
      <c r="J62" s="28" t="s">
        <v>85</v>
      </c>
      <c r="K62" s="24">
        <v>150</v>
      </c>
      <c r="L62" s="28" t="s">
        <v>86</v>
      </c>
      <c r="M62" s="24">
        <v>12</v>
      </c>
      <c r="N62" s="65">
        <f>G62*I62*K62*M62</f>
        <v>4500000</v>
      </c>
      <c r="O62" s="22"/>
    </row>
    <row r="64" spans="2:15" ht="15" customHeight="1">
      <c r="B64" s="73" t="s">
        <v>87</v>
      </c>
      <c r="C64" s="21" t="s">
        <v>80</v>
      </c>
      <c r="D64" s="22"/>
      <c r="E64" s="22"/>
      <c r="F64" s="62">
        <f>'101 LS LY'!F64</f>
        <v>1</v>
      </c>
      <c r="G64" s="63">
        <f>VLOOKUP(F64,C66:N68,12,FALSE)</f>
        <v>10000000</v>
      </c>
      <c r="H64" s="22"/>
      <c r="I64" s="64" t="s">
        <v>81</v>
      </c>
      <c r="J64" s="22"/>
      <c r="K64" s="22"/>
      <c r="L64" s="22"/>
      <c r="M64" s="22"/>
      <c r="N64" s="22"/>
      <c r="O64" s="22"/>
    </row>
    <row r="65" spans="2:15" ht="15" customHeight="1">
      <c r="B65" s="32"/>
      <c r="C65" s="22"/>
      <c r="D65" s="22"/>
      <c r="E65" s="22"/>
      <c r="F65" s="22"/>
      <c r="G65" s="22"/>
      <c r="H65" s="22"/>
      <c r="I65" s="22"/>
      <c r="J65" s="22"/>
      <c r="K65" s="22"/>
      <c r="L65" s="22"/>
      <c r="M65" s="22"/>
      <c r="N65" s="22"/>
      <c r="O65" s="22"/>
    </row>
    <row r="66" spans="2:15" ht="15" customHeight="1">
      <c r="B66" s="32"/>
      <c r="C66" s="22">
        <v>1</v>
      </c>
      <c r="D66" s="22" t="s">
        <v>53</v>
      </c>
      <c r="E66" s="22"/>
      <c r="F66" s="22"/>
      <c r="G66" s="25">
        <v>10000000</v>
      </c>
      <c r="H66" s="22"/>
      <c r="I66" s="22"/>
      <c r="J66" s="22"/>
      <c r="K66" s="22"/>
      <c r="L66" s="22"/>
      <c r="M66" s="22"/>
      <c r="N66" s="65">
        <f>G66</f>
        <v>10000000</v>
      </c>
      <c r="O66" s="22"/>
    </row>
    <row r="67" spans="2:15" ht="15" customHeight="1">
      <c r="B67" s="32"/>
      <c r="C67" s="22">
        <v>2</v>
      </c>
      <c r="D67" s="22" t="s">
        <v>54</v>
      </c>
      <c r="E67" s="22"/>
      <c r="F67" s="22"/>
      <c r="G67" s="27">
        <v>3.5000000000000003E-2</v>
      </c>
      <c r="H67" s="22"/>
      <c r="I67" s="22"/>
      <c r="J67" s="22"/>
      <c r="K67" s="22"/>
      <c r="L67" s="22"/>
      <c r="M67" s="22"/>
      <c r="N67" s="65">
        <f>ROUND(G67*C12,0)</f>
        <v>10322200</v>
      </c>
      <c r="O67" s="22"/>
    </row>
    <row r="68" spans="2:15" ht="15" customHeight="1">
      <c r="B68" s="74"/>
      <c r="C68" s="22">
        <v>3</v>
      </c>
      <c r="D68" s="21" t="s">
        <v>82</v>
      </c>
      <c r="E68" s="22"/>
      <c r="F68" s="28" t="s">
        <v>83</v>
      </c>
      <c r="G68" s="25">
        <v>2500</v>
      </c>
      <c r="H68" s="28" t="s">
        <v>84</v>
      </c>
      <c r="I68" s="24">
        <v>7</v>
      </c>
      <c r="J68" s="28" t="s">
        <v>85</v>
      </c>
      <c r="K68" s="24">
        <f>G7</f>
        <v>365</v>
      </c>
      <c r="L68" s="28" t="s">
        <v>86</v>
      </c>
      <c r="M68" s="24">
        <v>2</v>
      </c>
      <c r="N68" s="65">
        <f>G68*I68*K68*M68</f>
        <v>12775000</v>
      </c>
      <c r="O68" s="22"/>
    </row>
    <row r="70" spans="2:15" ht="15" customHeight="1">
      <c r="B70" s="73" t="s">
        <v>137</v>
      </c>
      <c r="C70" s="21" t="s">
        <v>140</v>
      </c>
      <c r="D70" s="22"/>
      <c r="E70" s="22"/>
      <c r="F70" s="62">
        <v>1</v>
      </c>
      <c r="G70" s="63">
        <f>VLOOKUP(F70,C72:N73,12,FALSE)</f>
        <v>32441200</v>
      </c>
      <c r="H70" s="22"/>
      <c r="I70" s="64" t="s">
        <v>81</v>
      </c>
      <c r="J70" s="22"/>
      <c r="K70" s="22"/>
      <c r="L70" s="22"/>
      <c r="M70" s="22"/>
      <c r="N70" s="22"/>
      <c r="O70" s="22"/>
    </row>
    <row r="71" spans="2:15" ht="15" customHeight="1">
      <c r="B71" s="32"/>
      <c r="C71" s="22"/>
      <c r="D71" s="22"/>
      <c r="E71" s="22"/>
      <c r="F71" s="22"/>
      <c r="G71" s="22"/>
      <c r="H71" s="22"/>
      <c r="I71" s="22"/>
      <c r="J71" s="22"/>
      <c r="K71" s="22"/>
      <c r="L71" s="22"/>
      <c r="M71" s="22"/>
      <c r="N71" s="22"/>
      <c r="O71" s="22"/>
    </row>
    <row r="72" spans="2:15" ht="15" customHeight="1">
      <c r="B72" s="32"/>
      <c r="C72" s="22">
        <v>1</v>
      </c>
      <c r="D72" s="21" t="s">
        <v>138</v>
      </c>
      <c r="E72" s="22"/>
      <c r="F72" s="22"/>
      <c r="G72" s="48">
        <f>'101 LS LY'!D24</f>
        <v>0.11</v>
      </c>
      <c r="H72" s="22"/>
      <c r="I72" s="22"/>
      <c r="J72" s="22"/>
      <c r="K72" s="22"/>
      <c r="L72" s="22"/>
      <c r="M72" s="22"/>
      <c r="N72" s="65">
        <f>G72*C12</f>
        <v>32441200</v>
      </c>
      <c r="O72" s="113">
        <f>N72/$C$10</f>
        <v>0.11</v>
      </c>
    </row>
    <row r="73" spans="2:15" ht="15" customHeight="1">
      <c r="B73" s="32"/>
      <c r="C73" s="75">
        <v>2</v>
      </c>
      <c r="D73" s="73" t="s">
        <v>141</v>
      </c>
      <c r="E73" s="75"/>
      <c r="F73" s="1" t="s">
        <v>144</v>
      </c>
      <c r="G73" s="103" t="s">
        <v>167</v>
      </c>
      <c r="H73" s="28" t="s">
        <v>145</v>
      </c>
      <c r="I73" s="82" t="s">
        <v>168</v>
      </c>
      <c r="J73" s="28" t="s">
        <v>38</v>
      </c>
      <c r="K73" s="102" t="s">
        <v>165</v>
      </c>
      <c r="L73" s="103" t="s">
        <v>166</v>
      </c>
      <c r="N73" s="96">
        <f>I99</f>
        <v>36575920</v>
      </c>
      <c r="O73" s="113">
        <f>N73/$C$10</f>
        <v>0.12401980198019802</v>
      </c>
    </row>
    <row r="74" spans="2:15" ht="15" customHeight="1">
      <c r="B74" s="32"/>
      <c r="C74" s="22"/>
      <c r="D74" s="22">
        <v>1</v>
      </c>
      <c r="E74" s="78" t="s">
        <v>142</v>
      </c>
      <c r="F74" s="27">
        <v>0.1</v>
      </c>
      <c r="G74" s="97">
        <f>ROUND(F74*$J$7,0)</f>
        <v>2920</v>
      </c>
      <c r="H74" s="27">
        <v>0.02</v>
      </c>
      <c r="I74" s="63">
        <f>ROUND(H74*L74,0)</f>
        <v>525600</v>
      </c>
      <c r="J74" s="63">
        <f t="shared" ref="J74:J98" si="7">IF(G74&gt;0,IF(K74&gt;0,K74,$C$8),"")</f>
        <v>9000</v>
      </c>
      <c r="K74" s="25">
        <v>9000</v>
      </c>
      <c r="L74" s="67">
        <f>IFERROR(J74*G74,0)</f>
        <v>26280000</v>
      </c>
      <c r="M74" s="22"/>
      <c r="N74" s="22"/>
      <c r="O74" s="22"/>
    </row>
    <row r="75" spans="2:15" ht="15" customHeight="1">
      <c r="B75" s="32"/>
      <c r="C75" s="22"/>
      <c r="D75" s="22">
        <v>2</v>
      </c>
      <c r="E75" s="98" t="s">
        <v>148</v>
      </c>
      <c r="F75" s="27"/>
      <c r="G75" s="97">
        <f t="shared" ref="G75:G98" si="8">ROUND(F75*$J$7,0)</f>
        <v>0</v>
      </c>
      <c r="H75" s="27"/>
      <c r="I75" s="63">
        <f t="shared" ref="I75:I98" si="9">ROUND(H75*L75,0)</f>
        <v>0</v>
      </c>
      <c r="J75" s="63" t="str">
        <f t="shared" si="7"/>
        <v/>
      </c>
      <c r="K75" s="25"/>
      <c r="L75" s="67">
        <f t="shared" ref="L75:L87" si="10">IFERROR(J75*G75,0)</f>
        <v>0</v>
      </c>
      <c r="M75" s="22"/>
      <c r="N75" s="22"/>
      <c r="O75" s="22"/>
    </row>
    <row r="76" spans="2:15" ht="15" customHeight="1">
      <c r="B76" s="32"/>
      <c r="C76" s="22"/>
      <c r="D76" s="22">
        <v>3</v>
      </c>
      <c r="E76" s="98" t="s">
        <v>149</v>
      </c>
      <c r="F76" s="27"/>
      <c r="G76" s="97">
        <f t="shared" si="8"/>
        <v>0</v>
      </c>
      <c r="H76" s="27"/>
      <c r="I76" s="63">
        <f t="shared" si="9"/>
        <v>0</v>
      </c>
      <c r="J76" s="63" t="str">
        <f t="shared" si="7"/>
        <v/>
      </c>
      <c r="K76" s="25"/>
      <c r="L76" s="67">
        <f t="shared" si="10"/>
        <v>0</v>
      </c>
      <c r="M76" s="22"/>
      <c r="N76" s="22"/>
      <c r="O76" s="22"/>
    </row>
    <row r="77" spans="2:15" ht="15" customHeight="1">
      <c r="B77" s="32"/>
      <c r="C77" s="22"/>
      <c r="D77" s="22">
        <v>4</v>
      </c>
      <c r="E77" s="98" t="s">
        <v>150</v>
      </c>
      <c r="F77" s="27"/>
      <c r="G77" s="97">
        <f t="shared" si="8"/>
        <v>0</v>
      </c>
      <c r="H77" s="27"/>
      <c r="I77" s="63">
        <f t="shared" si="9"/>
        <v>0</v>
      </c>
      <c r="J77" s="63" t="str">
        <f t="shared" si="7"/>
        <v/>
      </c>
      <c r="K77" s="25"/>
      <c r="L77" s="67">
        <f t="shared" si="10"/>
        <v>0</v>
      </c>
      <c r="M77" s="22"/>
      <c r="N77" s="22"/>
      <c r="O77" s="22"/>
    </row>
    <row r="78" spans="2:15" ht="15" customHeight="1">
      <c r="B78" s="32"/>
      <c r="C78" s="22"/>
      <c r="D78" s="22">
        <v>5</v>
      </c>
      <c r="E78" s="98" t="s">
        <v>156</v>
      </c>
      <c r="F78" s="27">
        <v>0.3</v>
      </c>
      <c r="G78" s="97">
        <f t="shared" si="8"/>
        <v>8760</v>
      </c>
      <c r="H78" s="27">
        <v>0.1</v>
      </c>
      <c r="I78" s="63">
        <f t="shared" si="9"/>
        <v>8847600</v>
      </c>
      <c r="J78" s="63">
        <f t="shared" si="7"/>
        <v>10100</v>
      </c>
      <c r="K78" s="25"/>
      <c r="L78" s="67">
        <f t="shared" si="10"/>
        <v>88476000</v>
      </c>
      <c r="M78" s="22"/>
      <c r="N78" s="22"/>
      <c r="O78" s="22"/>
    </row>
    <row r="79" spans="2:15" ht="15" customHeight="1">
      <c r="B79" s="32"/>
      <c r="C79" s="22"/>
      <c r="D79" s="22">
        <v>6</v>
      </c>
      <c r="E79" s="80" t="s">
        <v>151</v>
      </c>
      <c r="F79" s="27"/>
      <c r="G79" s="97">
        <f t="shared" si="8"/>
        <v>0</v>
      </c>
      <c r="H79" s="27"/>
      <c r="I79" s="63">
        <f t="shared" si="9"/>
        <v>0</v>
      </c>
      <c r="J79" s="63" t="str">
        <f t="shared" si="7"/>
        <v/>
      </c>
      <c r="K79" s="25"/>
      <c r="L79" s="67">
        <f t="shared" si="10"/>
        <v>0</v>
      </c>
      <c r="M79" s="22"/>
      <c r="N79" s="22"/>
      <c r="O79" s="22"/>
    </row>
    <row r="80" spans="2:15" ht="15" customHeight="1">
      <c r="B80" s="32"/>
      <c r="C80" s="22"/>
      <c r="D80" s="22">
        <v>7</v>
      </c>
      <c r="E80" s="80" t="s">
        <v>152</v>
      </c>
      <c r="F80" s="27"/>
      <c r="G80" s="97">
        <f t="shared" si="8"/>
        <v>0</v>
      </c>
      <c r="H80" s="27"/>
      <c r="I80" s="63">
        <f t="shared" si="9"/>
        <v>0</v>
      </c>
      <c r="J80" s="63" t="str">
        <f t="shared" si="7"/>
        <v/>
      </c>
      <c r="K80" s="25"/>
      <c r="L80" s="67">
        <f t="shared" si="10"/>
        <v>0</v>
      </c>
      <c r="M80" s="22"/>
      <c r="N80" s="22"/>
      <c r="O80" s="22"/>
    </row>
    <row r="81" spans="2:15" ht="15" customHeight="1">
      <c r="B81" s="32"/>
      <c r="C81" s="22"/>
      <c r="D81" s="22">
        <v>8</v>
      </c>
      <c r="E81" s="80" t="s">
        <v>153</v>
      </c>
      <c r="F81" s="27"/>
      <c r="G81" s="97">
        <f t="shared" si="8"/>
        <v>0</v>
      </c>
      <c r="H81" s="27"/>
      <c r="I81" s="63">
        <f t="shared" si="9"/>
        <v>0</v>
      </c>
      <c r="J81" s="63" t="str">
        <f t="shared" si="7"/>
        <v/>
      </c>
      <c r="K81" s="25"/>
      <c r="L81" s="67">
        <f t="shared" si="10"/>
        <v>0</v>
      </c>
      <c r="M81" s="22"/>
      <c r="N81" s="22"/>
      <c r="O81" s="22"/>
    </row>
    <row r="82" spans="2:15" ht="15" customHeight="1">
      <c r="B82" s="32"/>
      <c r="C82" s="22"/>
      <c r="D82" s="22">
        <v>9</v>
      </c>
      <c r="E82" s="80" t="s">
        <v>154</v>
      </c>
      <c r="F82" s="27"/>
      <c r="G82" s="97">
        <f t="shared" si="8"/>
        <v>0</v>
      </c>
      <c r="H82" s="27"/>
      <c r="I82" s="63">
        <f t="shared" si="9"/>
        <v>0</v>
      </c>
      <c r="J82" s="63" t="str">
        <f t="shared" si="7"/>
        <v/>
      </c>
      <c r="K82" s="25"/>
      <c r="L82" s="67">
        <f t="shared" si="10"/>
        <v>0</v>
      </c>
      <c r="M82" s="22"/>
      <c r="N82" s="22"/>
      <c r="O82" s="22"/>
    </row>
    <row r="83" spans="2:15" ht="15" customHeight="1">
      <c r="B83" s="32"/>
      <c r="C83" s="22"/>
      <c r="D83" s="22">
        <v>10</v>
      </c>
      <c r="E83" s="80" t="s">
        <v>155</v>
      </c>
      <c r="F83" s="27">
        <v>0.2</v>
      </c>
      <c r="G83" s="97">
        <f t="shared" si="8"/>
        <v>5840</v>
      </c>
      <c r="H83" s="27">
        <v>0.19</v>
      </c>
      <c r="I83" s="63">
        <f t="shared" si="9"/>
        <v>13315200</v>
      </c>
      <c r="J83" s="63">
        <f t="shared" si="7"/>
        <v>12000</v>
      </c>
      <c r="K83" s="25">
        <v>12000</v>
      </c>
      <c r="L83" s="67">
        <f t="shared" si="10"/>
        <v>70080000</v>
      </c>
      <c r="M83" s="22"/>
      <c r="N83" s="22"/>
      <c r="O83" s="22"/>
    </row>
    <row r="84" spans="2:15" ht="15" customHeight="1">
      <c r="B84" s="32"/>
      <c r="C84" s="22"/>
      <c r="D84" s="22">
        <v>11</v>
      </c>
      <c r="E84" s="80" t="s">
        <v>158</v>
      </c>
      <c r="F84" s="27">
        <v>0.1</v>
      </c>
      <c r="G84" s="97">
        <f t="shared" si="8"/>
        <v>2920</v>
      </c>
      <c r="H84" s="27">
        <v>0.16</v>
      </c>
      <c r="I84" s="63">
        <f t="shared" si="9"/>
        <v>4718720</v>
      </c>
      <c r="J84" s="63">
        <f t="shared" si="7"/>
        <v>10100</v>
      </c>
      <c r="K84" s="25"/>
      <c r="L84" s="67">
        <f t="shared" si="10"/>
        <v>29492000</v>
      </c>
      <c r="M84" s="22"/>
      <c r="N84" s="22"/>
      <c r="O84" s="22"/>
    </row>
    <row r="85" spans="2:15" ht="15" customHeight="1">
      <c r="B85" s="32"/>
      <c r="C85" s="22"/>
      <c r="D85" s="22">
        <v>12</v>
      </c>
      <c r="E85" s="80" t="s">
        <v>157</v>
      </c>
      <c r="F85" s="27"/>
      <c r="G85" s="97">
        <f t="shared" si="8"/>
        <v>0</v>
      </c>
      <c r="H85" s="27"/>
      <c r="I85" s="63">
        <f t="shared" si="9"/>
        <v>0</v>
      </c>
      <c r="J85" s="63" t="str">
        <f t="shared" si="7"/>
        <v/>
      </c>
      <c r="K85" s="25"/>
      <c r="L85" s="67">
        <f t="shared" si="10"/>
        <v>0</v>
      </c>
      <c r="M85" s="22"/>
      <c r="N85" s="22"/>
      <c r="O85" s="22"/>
    </row>
    <row r="86" spans="2:15" ht="15" customHeight="1">
      <c r="B86" s="32"/>
      <c r="C86" s="22"/>
      <c r="D86" s="22">
        <v>13</v>
      </c>
      <c r="E86" s="99" t="s">
        <v>163</v>
      </c>
      <c r="F86" s="27"/>
      <c r="G86" s="97">
        <f t="shared" si="8"/>
        <v>0</v>
      </c>
      <c r="H86" s="27"/>
      <c r="I86" s="63">
        <f t="shared" si="9"/>
        <v>0</v>
      </c>
      <c r="J86" s="63" t="str">
        <f t="shared" si="7"/>
        <v/>
      </c>
      <c r="K86" s="25"/>
      <c r="L86" s="67">
        <f t="shared" si="10"/>
        <v>0</v>
      </c>
      <c r="M86" s="22"/>
      <c r="N86" s="22"/>
      <c r="O86" s="22"/>
    </row>
    <row r="87" spans="2:15" ht="15" customHeight="1">
      <c r="B87" s="32"/>
      <c r="C87" s="22"/>
      <c r="D87" s="22">
        <v>14</v>
      </c>
      <c r="E87" s="99" t="s">
        <v>163</v>
      </c>
      <c r="F87" s="27"/>
      <c r="G87" s="97">
        <f t="shared" si="8"/>
        <v>0</v>
      </c>
      <c r="H87" s="27"/>
      <c r="I87" s="63">
        <f t="shared" si="9"/>
        <v>0</v>
      </c>
      <c r="J87" s="63" t="str">
        <f t="shared" si="7"/>
        <v/>
      </c>
      <c r="K87" s="25"/>
      <c r="L87" s="67">
        <f t="shared" si="10"/>
        <v>0</v>
      </c>
      <c r="M87" s="22"/>
      <c r="N87" s="22"/>
      <c r="O87" s="22"/>
    </row>
    <row r="88" spans="2:15" ht="15" customHeight="1">
      <c r="B88" s="32"/>
      <c r="C88" s="22"/>
      <c r="D88" s="108">
        <v>15</v>
      </c>
      <c r="E88" s="108" t="s">
        <v>162</v>
      </c>
      <c r="F88" s="111">
        <f>1-SUM(F74:F87,F89:F98)</f>
        <v>9.9999999999999867E-2</v>
      </c>
      <c r="G88" s="109">
        <f>J7-SUM(G74:G87,G89:G98)</f>
        <v>2920</v>
      </c>
      <c r="H88" s="27">
        <v>0.05</v>
      </c>
      <c r="I88" s="110">
        <f t="shared" si="9"/>
        <v>1693600</v>
      </c>
      <c r="J88" s="112">
        <f>IFERROR(L88/G88,"Error")</f>
        <v>11600</v>
      </c>
      <c r="K88" s="25"/>
      <c r="L88" s="101">
        <f>C10-SUM(L74:L87,L89:L98)</f>
        <v>33872000</v>
      </c>
      <c r="M88" s="108"/>
      <c r="N88" s="108"/>
      <c r="O88" s="108"/>
    </row>
    <row r="89" spans="2:15" ht="15" customHeight="1">
      <c r="B89" s="32"/>
      <c r="C89" s="22"/>
      <c r="D89" s="22">
        <v>16</v>
      </c>
      <c r="E89" s="99" t="s">
        <v>159</v>
      </c>
      <c r="F89" s="27"/>
      <c r="G89" s="97">
        <f t="shared" si="8"/>
        <v>0</v>
      </c>
      <c r="H89" s="27"/>
      <c r="I89" s="63">
        <f t="shared" si="9"/>
        <v>0</v>
      </c>
      <c r="J89" s="63" t="str">
        <f t="shared" si="7"/>
        <v/>
      </c>
      <c r="K89" s="25"/>
      <c r="L89" s="67">
        <f t="shared" ref="L89:L98" si="11">IFERROR(J89*G89,0)</f>
        <v>0</v>
      </c>
      <c r="M89" s="22"/>
      <c r="N89" s="22"/>
      <c r="O89" s="22"/>
    </row>
    <row r="90" spans="2:15" ht="15" customHeight="1">
      <c r="B90" s="32"/>
      <c r="C90" s="22"/>
      <c r="D90" s="22">
        <v>17</v>
      </c>
      <c r="E90" s="99" t="s">
        <v>160</v>
      </c>
      <c r="F90" s="27">
        <v>0.2</v>
      </c>
      <c r="G90" s="97">
        <f t="shared" si="8"/>
        <v>5840</v>
      </c>
      <c r="H90" s="27">
        <v>0.16</v>
      </c>
      <c r="I90" s="63">
        <f t="shared" si="9"/>
        <v>7475200</v>
      </c>
      <c r="J90" s="63">
        <f t="shared" si="7"/>
        <v>8000</v>
      </c>
      <c r="K90" s="25">
        <v>8000</v>
      </c>
      <c r="L90" s="67">
        <f t="shared" si="11"/>
        <v>46720000</v>
      </c>
      <c r="M90" s="22"/>
      <c r="N90" s="22"/>
      <c r="O90" s="22"/>
    </row>
    <row r="91" spans="2:15" ht="15" customHeight="1">
      <c r="B91" s="32"/>
      <c r="C91" s="22"/>
      <c r="D91" s="22">
        <v>18</v>
      </c>
      <c r="E91" s="99" t="s">
        <v>161</v>
      </c>
      <c r="F91" s="27"/>
      <c r="G91" s="97">
        <f t="shared" si="8"/>
        <v>0</v>
      </c>
      <c r="H91" s="27"/>
      <c r="I91" s="63">
        <f t="shared" si="9"/>
        <v>0</v>
      </c>
      <c r="J91" s="63" t="str">
        <f t="shared" si="7"/>
        <v/>
      </c>
      <c r="K91" s="25"/>
      <c r="L91" s="67">
        <f t="shared" si="11"/>
        <v>0</v>
      </c>
      <c r="M91" s="22"/>
      <c r="N91" s="22"/>
      <c r="O91" s="22"/>
    </row>
    <row r="92" spans="2:15" ht="15" customHeight="1">
      <c r="B92" s="32"/>
      <c r="C92" s="22"/>
      <c r="D92" s="22">
        <v>19</v>
      </c>
      <c r="E92" s="99" t="s">
        <v>161</v>
      </c>
      <c r="F92" s="27"/>
      <c r="G92" s="97">
        <f t="shared" si="8"/>
        <v>0</v>
      </c>
      <c r="H92" s="27"/>
      <c r="I92" s="63">
        <f t="shared" si="9"/>
        <v>0</v>
      </c>
      <c r="J92" s="63" t="str">
        <f t="shared" si="7"/>
        <v/>
      </c>
      <c r="K92" s="25"/>
      <c r="L92" s="67">
        <f t="shared" si="11"/>
        <v>0</v>
      </c>
      <c r="M92" s="22"/>
      <c r="N92" s="22"/>
      <c r="O92" s="22"/>
    </row>
    <row r="93" spans="2:15" ht="15" customHeight="1">
      <c r="B93" s="32"/>
      <c r="C93" s="22"/>
      <c r="D93" s="22">
        <v>20</v>
      </c>
      <c r="E93" s="99" t="s">
        <v>163</v>
      </c>
      <c r="F93" s="27"/>
      <c r="G93" s="97">
        <f t="shared" si="8"/>
        <v>0</v>
      </c>
      <c r="H93" s="27"/>
      <c r="I93" s="63">
        <f t="shared" si="9"/>
        <v>0</v>
      </c>
      <c r="J93" s="63" t="str">
        <f t="shared" si="7"/>
        <v/>
      </c>
      <c r="K93" s="25"/>
      <c r="L93" s="67">
        <f t="shared" si="11"/>
        <v>0</v>
      </c>
      <c r="M93" s="22"/>
      <c r="N93" s="22"/>
      <c r="O93" s="22"/>
    </row>
    <row r="94" spans="2:15" ht="15" customHeight="1">
      <c r="B94" s="32"/>
      <c r="C94" s="22"/>
      <c r="D94" s="22">
        <v>21</v>
      </c>
      <c r="E94" s="99" t="s">
        <v>163</v>
      </c>
      <c r="F94" s="27"/>
      <c r="G94" s="97">
        <f t="shared" si="8"/>
        <v>0</v>
      </c>
      <c r="H94" s="27"/>
      <c r="I94" s="63">
        <f t="shared" si="9"/>
        <v>0</v>
      </c>
      <c r="J94" s="63" t="str">
        <f t="shared" si="7"/>
        <v/>
      </c>
      <c r="K94" s="25"/>
      <c r="L94" s="67">
        <f t="shared" si="11"/>
        <v>0</v>
      </c>
      <c r="M94" s="22"/>
      <c r="N94" s="22"/>
      <c r="O94" s="22"/>
    </row>
    <row r="95" spans="2:15" ht="15" customHeight="1">
      <c r="B95" s="32"/>
      <c r="C95" s="22"/>
      <c r="D95" s="22">
        <v>22</v>
      </c>
      <c r="E95" s="99" t="s">
        <v>163</v>
      </c>
      <c r="F95" s="27"/>
      <c r="G95" s="97">
        <f t="shared" si="8"/>
        <v>0</v>
      </c>
      <c r="H95" s="27"/>
      <c r="I95" s="63">
        <f t="shared" si="9"/>
        <v>0</v>
      </c>
      <c r="J95" s="63" t="str">
        <f t="shared" si="7"/>
        <v/>
      </c>
      <c r="K95" s="25"/>
      <c r="L95" s="67">
        <f t="shared" si="11"/>
        <v>0</v>
      </c>
      <c r="M95" s="22"/>
      <c r="N95" s="22"/>
      <c r="O95" s="22"/>
    </row>
    <row r="96" spans="2:15" ht="15" customHeight="1">
      <c r="B96" s="32"/>
      <c r="C96" s="22"/>
      <c r="D96" s="22">
        <v>23</v>
      </c>
      <c r="E96" s="99" t="s">
        <v>163</v>
      </c>
      <c r="F96" s="27"/>
      <c r="G96" s="97">
        <f t="shared" si="8"/>
        <v>0</v>
      </c>
      <c r="H96" s="27"/>
      <c r="I96" s="63">
        <f t="shared" si="9"/>
        <v>0</v>
      </c>
      <c r="J96" s="63" t="str">
        <f t="shared" si="7"/>
        <v/>
      </c>
      <c r="K96" s="25"/>
      <c r="L96" s="67">
        <f t="shared" si="11"/>
        <v>0</v>
      </c>
      <c r="M96" s="22"/>
      <c r="N96" s="22"/>
      <c r="O96" s="22"/>
    </row>
    <row r="97" spans="1:15" ht="15" customHeight="1">
      <c r="B97" s="32"/>
      <c r="C97" s="22"/>
      <c r="D97" s="22">
        <v>24</v>
      </c>
      <c r="E97" s="99" t="s">
        <v>163</v>
      </c>
      <c r="F97" s="27"/>
      <c r="G97" s="97">
        <f t="shared" si="8"/>
        <v>0</v>
      </c>
      <c r="H97" s="27"/>
      <c r="I97" s="63">
        <f t="shared" si="9"/>
        <v>0</v>
      </c>
      <c r="J97" s="63" t="str">
        <f t="shared" si="7"/>
        <v/>
      </c>
      <c r="K97" s="25"/>
      <c r="L97" s="67">
        <f t="shared" si="11"/>
        <v>0</v>
      </c>
      <c r="M97" s="22"/>
      <c r="N97" s="22"/>
      <c r="O97" s="22"/>
    </row>
    <row r="98" spans="1:15" ht="15" customHeight="1">
      <c r="B98" s="32"/>
      <c r="C98" s="22"/>
      <c r="D98" s="22">
        <v>25</v>
      </c>
      <c r="E98" s="100" t="s">
        <v>164</v>
      </c>
      <c r="F98" s="27"/>
      <c r="G98" s="97">
        <f t="shared" si="8"/>
        <v>0</v>
      </c>
      <c r="H98" s="27"/>
      <c r="I98" s="63">
        <f t="shared" si="9"/>
        <v>0</v>
      </c>
      <c r="J98" s="63" t="str">
        <f t="shared" si="7"/>
        <v/>
      </c>
      <c r="K98" s="25"/>
      <c r="L98" s="67">
        <f t="shared" si="11"/>
        <v>0</v>
      </c>
      <c r="M98" s="22"/>
      <c r="N98" s="22"/>
      <c r="O98" s="22"/>
    </row>
    <row r="99" spans="1:15" ht="15" customHeight="1">
      <c r="B99" s="74"/>
      <c r="C99" s="22"/>
      <c r="D99" s="21"/>
      <c r="E99" s="21"/>
      <c r="F99" s="104">
        <f>SUM(F74:F98)</f>
        <v>1</v>
      </c>
      <c r="G99" s="97">
        <f>SUM(G74:G98)</f>
        <v>29200</v>
      </c>
      <c r="H99" s="107">
        <f>IFERROR(I99/L99,0)</f>
        <v>0.12401980198019802</v>
      </c>
      <c r="I99" s="106">
        <f>SUM(I74:I98)</f>
        <v>36575920</v>
      </c>
      <c r="J99" s="105">
        <f>C8</f>
        <v>10100</v>
      </c>
      <c r="K99" s="22"/>
      <c r="L99" s="26">
        <f>SUM(L74:L98)</f>
        <v>294920000</v>
      </c>
      <c r="M99" s="28"/>
      <c r="N99" s="28"/>
      <c r="O99" s="22"/>
    </row>
    <row r="100" spans="1:15" ht="15" customHeight="1">
      <c r="A100"/>
      <c r="B100"/>
      <c r="C100"/>
      <c r="D100"/>
      <c r="E100"/>
      <c r="F100"/>
      <c r="G100"/>
      <c r="H100"/>
      <c r="I100"/>
      <c r="J100"/>
      <c r="K100"/>
      <c r="L100"/>
      <c r="M100"/>
      <c r="N100"/>
      <c r="O100"/>
    </row>
    <row r="101" spans="1:15" ht="15" customHeight="1">
      <c r="D101" s="7" t="s">
        <v>146</v>
      </c>
    </row>
    <row r="102" spans="1:15" ht="15" customHeight="1">
      <c r="D102" s="7" t="s">
        <v>147</v>
      </c>
    </row>
  </sheetData>
  <mergeCells count="7">
    <mergeCell ref="K36:M36"/>
    <mergeCell ref="C4:G4"/>
    <mergeCell ref="K31:M31"/>
    <mergeCell ref="K32:M32"/>
    <mergeCell ref="K33:M33"/>
    <mergeCell ref="K34:M34"/>
    <mergeCell ref="K35:M35"/>
  </mergeCells>
  <phoneticPr fontId="3"/>
  <conditionalFormatting sqref="D16:D19 D21:D27">
    <cfRule type="dataBar" priority="5">
      <dataBar>
        <cfvo type="min"/>
        <cfvo type="max"/>
        <color rgb="FF638EC6"/>
      </dataBar>
      <extLst>
        <ext xmlns:x14="http://schemas.microsoft.com/office/spreadsheetml/2009/9/main" uri="{B025F937-C7B1-47D3-B67F-A62EFF666E3E}">
          <x14:id>{79216937-3116-4B3F-97AD-0E84149032EA}</x14:id>
        </ext>
      </extLst>
    </cfRule>
  </conditionalFormatting>
  <conditionalFormatting sqref="F99">
    <cfRule type="cellIs" dxfId="9" priority="4" operator="notEqual">
      <formula>1</formula>
    </cfRule>
  </conditionalFormatting>
  <conditionalFormatting sqref="G74:G98">
    <cfRule type="dataBar" priority="2">
      <dataBar>
        <cfvo type="min"/>
        <cfvo type="max"/>
        <color rgb="FF63C384"/>
      </dataBar>
      <extLst>
        <ext xmlns:x14="http://schemas.microsoft.com/office/spreadsheetml/2009/9/main" uri="{B025F937-C7B1-47D3-B67F-A62EFF666E3E}">
          <x14:id>{120E39A0-CCDD-49D2-9BE7-5EB1099360F4}</x14:id>
        </ext>
      </extLst>
    </cfRule>
  </conditionalFormatting>
  <conditionalFormatting sqref="J74:J98">
    <cfRule type="dataBar" priority="6">
      <dataBar>
        <cfvo type="min"/>
        <cfvo type="max"/>
        <color rgb="FFFF555A"/>
      </dataBar>
      <extLst>
        <ext xmlns:x14="http://schemas.microsoft.com/office/spreadsheetml/2009/9/main" uri="{B025F937-C7B1-47D3-B67F-A62EFF666E3E}">
          <x14:id>{676C463D-B76F-4D10-8D32-8BF523BB691F}</x14:id>
        </ext>
      </extLst>
    </cfRule>
  </conditionalFormatting>
  <conditionalFormatting sqref="J88">
    <cfRule type="containsText" dxfId="8" priority="1" operator="containsText" text="Error">
      <formula>NOT(ISERROR(SEARCH("Error",J88)))</formula>
    </cfRule>
  </conditionalFormatting>
  <dataValidations count="3">
    <dataValidation imeMode="off" allowBlank="1" showInputMessage="1" showErrorMessage="1" sqref="G31:G33 G7 L7 C11 I34:I36 I26:I27 I47:I50 F44:F45 I52:I55 G52:G55 E7:E8 G47:G50 I62 K62 M62 G66:G68 I68 K68 M68 G19 I19 J21:J23 L23 K74:K98 F89:F98 F74:F87 H74:H98 J25 G26:G27 G60:G62" xr:uid="{0549C6AF-2FF0-4781-A1A8-6B5427DD2946}"/>
    <dataValidation type="list" allowBlank="1" showInputMessage="1" showErrorMessage="1" sqref="F42 F58 F64" xr:uid="{29CAF73D-11C7-461D-8214-550E5280CD6C}">
      <formula1>"1,2,3"</formula1>
    </dataValidation>
    <dataValidation type="list" allowBlank="1" showInputMessage="1" showErrorMessage="1" sqref="F70" xr:uid="{70D66F9F-ECDD-4764-8111-47EAF082EF73}">
      <formula1>"1,2"</formula1>
    </dataValidation>
  </dataValidations>
  <hyperlinks>
    <hyperlink ref="A1" location="index!A1" display="&lt;&lt;" xr:uid="{6C1AB29E-1FAC-4DE8-9341-F8AD7F831D3F}"/>
  </hyperlinks>
  <pageMargins left="0.70866141732283472" right="0.70866141732283472" top="0.74803149606299213" bottom="0.74803149606299213" header="0.31496062992125984" footer="0.31496062992125984"/>
  <pageSetup paperSize="9" scale="98"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79216937-3116-4B3F-97AD-0E84149032EA}">
            <x14:dataBar minLength="0" maxLength="100" border="1" negativeBarBorderColorSameAsPositive="0">
              <x14:cfvo type="autoMin"/>
              <x14:cfvo type="autoMax"/>
              <x14:borderColor rgb="FF638EC6"/>
              <x14:negativeFillColor rgb="FFFF0000"/>
              <x14:negativeBorderColor rgb="FFFF0000"/>
              <x14:axisColor rgb="FF000000"/>
            </x14:dataBar>
          </x14:cfRule>
          <xm:sqref>D16:D19 D21:D27</xm:sqref>
        </x14:conditionalFormatting>
        <x14:conditionalFormatting xmlns:xm="http://schemas.microsoft.com/office/excel/2006/main">
          <x14:cfRule type="dataBar" id="{120E39A0-CCDD-49D2-9BE7-5EB1099360F4}">
            <x14:dataBar minLength="0" maxLength="100" border="1" negativeBarBorderColorSameAsPositive="0">
              <x14:cfvo type="autoMin"/>
              <x14:cfvo type="autoMax"/>
              <x14:borderColor rgb="FF63C384"/>
              <x14:negativeFillColor rgb="FFFF0000"/>
              <x14:negativeBorderColor rgb="FFFF0000"/>
              <x14:axisColor rgb="FF000000"/>
            </x14:dataBar>
          </x14:cfRule>
          <xm:sqref>G74:G98</xm:sqref>
        </x14:conditionalFormatting>
        <x14:conditionalFormatting xmlns:xm="http://schemas.microsoft.com/office/excel/2006/main">
          <x14:cfRule type="dataBar" id="{676C463D-B76F-4D10-8D32-8BF523BB691F}">
            <x14:dataBar minLength="0" maxLength="100" border="1" negativeBarBorderColorSameAsPositive="0">
              <x14:cfvo type="autoMin"/>
              <x14:cfvo type="autoMax"/>
              <x14:borderColor rgb="FFFF555A"/>
              <x14:negativeFillColor rgb="FFFF0000"/>
              <x14:negativeBorderColor rgb="FFFF0000"/>
              <x14:axisColor rgb="FF000000"/>
            </x14:dataBar>
          </x14:cfRule>
          <xm:sqref>J74:J98</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8810E-E3F6-4795-A3B6-BEEA87FD5BC8}">
  <sheetPr>
    <tabColor rgb="FFFFFF00"/>
    <pageSetUpPr fitToPage="1"/>
  </sheetPr>
  <dimension ref="A1:O102"/>
  <sheetViews>
    <sheetView showGridLines="0" zoomScale="90" zoomScaleNormal="90" workbookViewId="0">
      <selection activeCell="G47" sqref="G47"/>
    </sheetView>
  </sheetViews>
  <sheetFormatPr defaultRowHeight="15" customHeight="1"/>
  <cols>
    <col min="1" max="1" width="3.69140625" style="2" customWidth="1"/>
    <col min="2" max="15" width="16.69140625" style="2" customWidth="1"/>
  </cols>
  <sheetData>
    <row r="1" spans="1:15" ht="19.149999999999999" thickBot="1">
      <c r="A1" s="4" t="s">
        <v>0</v>
      </c>
      <c r="B1" s="3" t="s">
        <v>169</v>
      </c>
      <c r="C1" s="3"/>
      <c r="D1" s="3"/>
      <c r="E1" s="3"/>
      <c r="F1" s="3"/>
      <c r="G1" s="3"/>
      <c r="H1" s="3"/>
      <c r="I1" s="3"/>
      <c r="J1" s="3"/>
      <c r="K1" s="3"/>
      <c r="L1" s="3"/>
      <c r="M1" s="3"/>
      <c r="N1" s="3"/>
      <c r="O1" s="115" t="str">
        <f>index!$C$7</f>
        <v>Sample Hotel</v>
      </c>
    </row>
    <row r="2" spans="1:15" ht="15" customHeight="1" thickTop="1"/>
    <row r="3" spans="1:15" ht="15" customHeight="1">
      <c r="A3" s="13" t="s">
        <v>139</v>
      </c>
      <c r="N3" s="82" t="s">
        <v>256</v>
      </c>
      <c r="O3" s="118">
        <f>DATE(index!$J$7,index!$L$7,index!$N$7)</f>
        <v>44635</v>
      </c>
    </row>
    <row r="4" spans="1:15" ht="15" customHeight="1">
      <c r="B4" s="82" t="s">
        <v>133</v>
      </c>
      <c r="C4" s="154" t="s">
        <v>258</v>
      </c>
      <c r="D4" s="152"/>
      <c r="E4" s="152"/>
      <c r="F4" s="152"/>
      <c r="G4" s="152"/>
    </row>
    <row r="6" spans="1:15" ht="15" customHeight="1">
      <c r="B6" s="22" t="s">
        <v>44</v>
      </c>
      <c r="C6" s="23">
        <f>'101 LS LY'!C6</f>
        <v>100</v>
      </c>
      <c r="D6" s="22" t="s">
        <v>45</v>
      </c>
      <c r="E6" s="22"/>
      <c r="F6" s="22"/>
      <c r="G6" s="22"/>
      <c r="H6" s="22"/>
      <c r="I6" s="22"/>
      <c r="J6" s="22"/>
      <c r="K6" s="22"/>
      <c r="L6" s="22"/>
      <c r="M6" s="22"/>
      <c r="N6" s="22"/>
      <c r="O6" s="22"/>
    </row>
    <row r="7" spans="1:15" ht="15" customHeight="1">
      <c r="B7" s="59" t="s">
        <v>122</v>
      </c>
      <c r="C7" s="48">
        <f>IF(E7&gt;0,E7,'101 LS LY'!C7)</f>
        <v>0.80801369425786096</v>
      </c>
      <c r="D7" s="31" t="s">
        <v>48</v>
      </c>
      <c r="E7" s="116">
        <v>0.80801369425786096</v>
      </c>
      <c r="F7" s="30" t="s">
        <v>46</v>
      </c>
      <c r="G7" s="29">
        <f>'111 LS CS1'!G7</f>
        <v>365</v>
      </c>
      <c r="H7" s="22"/>
      <c r="I7" s="30" t="s">
        <v>47</v>
      </c>
      <c r="J7" s="23">
        <f>IF(L7&gt;0,L7,ROUND(C6*G7*C7,0))</f>
        <v>29492</v>
      </c>
      <c r="K7" s="31" t="s">
        <v>48</v>
      </c>
      <c r="L7" s="24">
        <f>'111 LS CS1'!L7</f>
        <v>0</v>
      </c>
      <c r="M7" s="31" t="s">
        <v>49</v>
      </c>
      <c r="N7" s="22"/>
      <c r="O7" s="22"/>
    </row>
    <row r="8" spans="1:15" ht="15" customHeight="1">
      <c r="B8" s="59" t="s">
        <v>38</v>
      </c>
      <c r="C8" s="63">
        <f>IF(E8&gt;0,E8,'101 LS LY'!C8)</f>
        <v>10000</v>
      </c>
      <c r="D8" s="31" t="s">
        <v>48</v>
      </c>
      <c r="E8" s="24"/>
      <c r="F8" s="22"/>
      <c r="G8" s="22"/>
      <c r="H8" s="22"/>
      <c r="I8" s="22"/>
      <c r="J8" s="22"/>
      <c r="K8" s="22"/>
      <c r="L8" s="22"/>
      <c r="M8" s="22"/>
      <c r="N8" s="22"/>
      <c r="O8" s="22"/>
    </row>
    <row r="9" spans="1:15" ht="15" customHeight="1">
      <c r="B9" s="22"/>
      <c r="C9" s="22"/>
      <c r="D9" s="22"/>
      <c r="E9" s="22"/>
      <c r="F9" s="22"/>
      <c r="G9" s="22"/>
      <c r="H9" s="22"/>
      <c r="I9" s="22"/>
      <c r="J9" s="22"/>
      <c r="K9" s="22"/>
      <c r="L9" s="22"/>
      <c r="M9" s="22"/>
      <c r="N9" s="22"/>
      <c r="O9" s="22"/>
    </row>
    <row r="10" spans="1:15" ht="15" customHeight="1">
      <c r="B10" s="22" t="s">
        <v>51</v>
      </c>
      <c r="C10" s="46">
        <f>C8*J7</f>
        <v>294920000</v>
      </c>
      <c r="D10" s="22"/>
      <c r="E10" s="22"/>
      <c r="F10" s="22"/>
      <c r="G10" s="22"/>
      <c r="H10" s="22"/>
      <c r="I10" s="22"/>
      <c r="J10" s="22"/>
      <c r="K10" s="22"/>
      <c r="L10" s="22"/>
      <c r="M10" s="22"/>
      <c r="N10" s="22"/>
      <c r="O10" s="22"/>
    </row>
    <row r="11" spans="1:15" ht="15" customHeight="1">
      <c r="B11" s="22" t="s">
        <v>52</v>
      </c>
      <c r="C11" s="47">
        <v>0</v>
      </c>
      <c r="D11" s="22"/>
      <c r="E11" s="22"/>
      <c r="F11" s="22"/>
      <c r="G11" s="22"/>
      <c r="H11" s="22"/>
      <c r="I11" s="22"/>
      <c r="J11" s="22"/>
      <c r="K11" s="22"/>
      <c r="L11" s="22"/>
      <c r="M11" s="22"/>
      <c r="N11" s="22"/>
      <c r="O11" s="22"/>
    </row>
    <row r="12" spans="1:15" ht="15" customHeight="1">
      <c r="B12" s="58" t="s">
        <v>121</v>
      </c>
      <c r="C12" s="55">
        <f>C10+C11</f>
        <v>294920000</v>
      </c>
      <c r="D12" s="57"/>
      <c r="E12" s="57"/>
      <c r="F12" s="57"/>
      <c r="G12" s="57"/>
      <c r="H12" s="57"/>
      <c r="I12" s="57"/>
      <c r="J12" s="57"/>
      <c r="K12" s="57"/>
      <c r="L12" s="57"/>
      <c r="M12" s="57"/>
      <c r="N12" s="57"/>
      <c r="O12" s="57"/>
    </row>
    <row r="14" spans="1:15" ht="15" customHeight="1">
      <c r="B14" s="22"/>
      <c r="C14" s="21" t="s">
        <v>91</v>
      </c>
      <c r="D14" s="21" t="s">
        <v>92</v>
      </c>
      <c r="E14" s="22"/>
      <c r="F14" s="22"/>
      <c r="G14" s="22"/>
      <c r="H14" s="22"/>
      <c r="I14" s="22"/>
      <c r="J14" s="22"/>
      <c r="K14" s="22"/>
      <c r="L14" s="22"/>
      <c r="M14" s="22"/>
      <c r="N14" s="22"/>
      <c r="O14" s="22"/>
    </row>
    <row r="15" spans="1:15" ht="15" customHeight="1">
      <c r="B15" s="21" t="s">
        <v>13</v>
      </c>
      <c r="C15" s="26">
        <f>SUM(C16:C19)</f>
        <v>36500000</v>
      </c>
      <c r="D15" s="48">
        <f>C15/$C$12</f>
        <v>0.12376237623762376</v>
      </c>
      <c r="E15" s="22"/>
      <c r="F15" s="21" t="s">
        <v>94</v>
      </c>
      <c r="G15" s="22"/>
      <c r="H15" s="22"/>
      <c r="I15" s="22"/>
      <c r="J15" s="22"/>
      <c r="K15" s="22"/>
      <c r="L15" s="22"/>
      <c r="M15" s="22"/>
      <c r="N15" s="80" t="s">
        <v>126</v>
      </c>
      <c r="O15" s="22"/>
    </row>
    <row r="16" spans="1:15" ht="15" customHeight="1">
      <c r="B16" s="49" t="s">
        <v>88</v>
      </c>
      <c r="C16" s="50">
        <f>G42</f>
        <v>20000000</v>
      </c>
      <c r="D16" s="51">
        <f t="shared" ref="D16:D27" si="0">C16/$C$12</f>
        <v>6.7815000678150009E-2</v>
      </c>
      <c r="E16" s="22"/>
      <c r="F16" s="21" t="s">
        <v>95</v>
      </c>
      <c r="G16" s="22"/>
      <c r="H16" s="22"/>
      <c r="I16" s="22"/>
      <c r="J16" s="22"/>
      <c r="K16" s="22"/>
      <c r="L16" s="22"/>
      <c r="M16" s="22"/>
      <c r="N16" s="80" t="s">
        <v>126</v>
      </c>
      <c r="O16" s="22"/>
    </row>
    <row r="17" spans="2:15" ht="15" customHeight="1">
      <c r="B17" s="49" t="s">
        <v>89</v>
      </c>
      <c r="C17" s="50">
        <f>G58</f>
        <v>3500000</v>
      </c>
      <c r="D17" s="51">
        <f t="shared" si="0"/>
        <v>1.1867625118676251E-2</v>
      </c>
      <c r="E17" s="22"/>
      <c r="F17" s="22"/>
      <c r="G17" s="22"/>
      <c r="H17" s="22"/>
      <c r="I17" s="22"/>
      <c r="J17" s="22"/>
      <c r="K17" s="22"/>
      <c r="L17" s="22"/>
      <c r="M17" s="22"/>
      <c r="N17" s="80" t="s">
        <v>126</v>
      </c>
      <c r="O17" s="79" t="s">
        <v>127</v>
      </c>
    </row>
    <row r="18" spans="2:15" ht="15" customHeight="1">
      <c r="B18" s="49" t="s">
        <v>90</v>
      </c>
      <c r="C18" s="50">
        <f>G64</f>
        <v>10000000</v>
      </c>
      <c r="D18" s="51">
        <f t="shared" si="0"/>
        <v>3.3907500339075004E-2</v>
      </c>
      <c r="E18" s="22"/>
      <c r="F18" s="22"/>
      <c r="G18" s="22"/>
      <c r="H18" s="22"/>
      <c r="I18" s="22"/>
      <c r="J18" s="22"/>
      <c r="K18" s="22"/>
      <c r="L18" s="22"/>
      <c r="M18" s="22"/>
      <c r="N18" s="80" t="s">
        <v>126</v>
      </c>
      <c r="O18" s="22"/>
    </row>
    <row r="19" spans="2:15" ht="15" customHeight="1">
      <c r="B19" s="49" t="s">
        <v>96</v>
      </c>
      <c r="C19" s="50">
        <f>IF(I19&gt;0,I19,ROUND(C16*G19,0))</f>
        <v>3000000</v>
      </c>
      <c r="D19" s="51">
        <f t="shared" si="0"/>
        <v>1.0172250101722501E-2</v>
      </c>
      <c r="E19" s="22"/>
      <c r="F19" s="28" t="s">
        <v>106</v>
      </c>
      <c r="G19" s="27">
        <f>'111 LS CS1'!G19</f>
        <v>0.15</v>
      </c>
      <c r="H19" s="28" t="s">
        <v>97</v>
      </c>
      <c r="I19" s="25">
        <f>'111 LS CS1'!I19</f>
        <v>0</v>
      </c>
      <c r="J19" s="22"/>
      <c r="K19" s="22"/>
      <c r="L19" s="22"/>
      <c r="M19" s="22"/>
      <c r="N19" s="80" t="s">
        <v>126</v>
      </c>
      <c r="O19" s="22"/>
    </row>
    <row r="20" spans="2:15" ht="15" customHeight="1">
      <c r="B20" s="21" t="s">
        <v>93</v>
      </c>
      <c r="C20" s="26">
        <f>SUM(C21:C27)</f>
        <v>110565508</v>
      </c>
      <c r="D20" s="48">
        <f>C20/$C$12</f>
        <v>0.37490000000000001</v>
      </c>
      <c r="E20" s="22"/>
      <c r="F20" s="22"/>
      <c r="G20" s="22"/>
      <c r="H20" s="22"/>
      <c r="I20" s="22"/>
      <c r="J20" s="22"/>
      <c r="K20" s="22"/>
      <c r="L20" s="22"/>
      <c r="M20" s="22"/>
      <c r="N20" s="22"/>
      <c r="O20" s="22"/>
    </row>
    <row r="21" spans="2:15" ht="15" customHeight="1">
      <c r="B21" s="83" t="s">
        <v>99</v>
      </c>
      <c r="C21" s="84">
        <f>$J$7*IF(J21&gt;0,J21,G21)</f>
        <v>13123940</v>
      </c>
      <c r="D21" s="85">
        <f t="shared" si="0"/>
        <v>4.4499999999999998E-2</v>
      </c>
      <c r="E21" s="86"/>
      <c r="F21" s="90" t="s">
        <v>124</v>
      </c>
      <c r="G21" s="91">
        <f>'101 LS LY'!L21</f>
        <v>445</v>
      </c>
      <c r="H21" s="86" t="s">
        <v>134</v>
      </c>
      <c r="I21" s="92" t="s">
        <v>135</v>
      </c>
      <c r="J21" s="25">
        <f>'111 LS CS1'!J21</f>
        <v>0</v>
      </c>
      <c r="K21" s="86"/>
      <c r="L21" s="86"/>
      <c r="M21" s="86"/>
      <c r="N21" s="79" t="s">
        <v>128</v>
      </c>
      <c r="O21" s="86"/>
    </row>
    <row r="22" spans="2:15" ht="15" customHeight="1">
      <c r="B22" s="83" t="s">
        <v>100</v>
      </c>
      <c r="C22" s="84">
        <f t="shared" ref="C22" si="1">$J$7*IF(J22&gt;0,J22,G22)</f>
        <v>17164344</v>
      </c>
      <c r="D22" s="85">
        <f t="shared" si="0"/>
        <v>5.8200000000000002E-2</v>
      </c>
      <c r="E22" s="86"/>
      <c r="F22" s="90" t="s">
        <v>124</v>
      </c>
      <c r="G22" s="91">
        <f>'101 LS LY'!L22</f>
        <v>582</v>
      </c>
      <c r="H22" s="86" t="s">
        <v>134</v>
      </c>
      <c r="I22" s="93" t="s">
        <v>135</v>
      </c>
      <c r="J22" s="25">
        <f>'111 LS CS1'!J22</f>
        <v>0</v>
      </c>
      <c r="K22" s="86"/>
      <c r="L22" s="86"/>
      <c r="M22" s="86"/>
      <c r="N22" s="79" t="s">
        <v>128</v>
      </c>
      <c r="O22" s="86"/>
    </row>
    <row r="23" spans="2:15" ht="15" customHeight="1">
      <c r="B23" s="83" t="s">
        <v>101</v>
      </c>
      <c r="C23" s="84">
        <f>MAX($J$7,M23)*IF(J23&gt;0,J23,G23)</f>
        <v>24242424</v>
      </c>
      <c r="D23" s="85">
        <f t="shared" si="0"/>
        <v>8.2199999999999995E-2</v>
      </c>
      <c r="E23" s="86"/>
      <c r="F23" s="90" t="s">
        <v>124</v>
      </c>
      <c r="G23" s="91">
        <f>'101 LS LY'!L23</f>
        <v>822</v>
      </c>
      <c r="H23" s="86" t="s">
        <v>134</v>
      </c>
      <c r="I23" s="93" t="s">
        <v>135</v>
      </c>
      <c r="J23" s="25">
        <f>'111 LS CS1'!J23</f>
        <v>0</v>
      </c>
      <c r="K23" s="87" t="s">
        <v>143</v>
      </c>
      <c r="L23" s="27">
        <f>'111 LS CS1'!L23</f>
        <v>0.4</v>
      </c>
      <c r="M23" s="95">
        <f>C6*G7*L23</f>
        <v>14600</v>
      </c>
      <c r="N23" s="79" t="s">
        <v>128</v>
      </c>
      <c r="O23" s="86"/>
    </row>
    <row r="24" spans="2:15" ht="15" customHeight="1">
      <c r="B24" s="83" t="s">
        <v>102</v>
      </c>
      <c r="C24" s="84">
        <f>G70</f>
        <v>32441200</v>
      </c>
      <c r="D24" s="85">
        <f t="shared" si="0"/>
        <v>0.11</v>
      </c>
      <c r="E24" s="86"/>
      <c r="F24" s="90" t="s">
        <v>124</v>
      </c>
      <c r="G24" s="91">
        <f>'101 LS LY'!L24</f>
        <v>1100</v>
      </c>
      <c r="H24" s="86" t="s">
        <v>134</v>
      </c>
      <c r="I24" s="94" t="s">
        <v>136</v>
      </c>
      <c r="J24" s="94"/>
      <c r="K24" s="86"/>
      <c r="L24" s="86"/>
      <c r="M24" s="86"/>
      <c r="N24" s="78" t="s">
        <v>129</v>
      </c>
      <c r="O24" s="86"/>
    </row>
    <row r="25" spans="2:15" ht="15" customHeight="1">
      <c r="B25" s="49" t="s">
        <v>103</v>
      </c>
      <c r="C25" s="50">
        <f>$J$7*IF(J25&gt;0,J25,G25)</f>
        <v>17695200</v>
      </c>
      <c r="D25" s="51">
        <f t="shared" si="0"/>
        <v>0.06</v>
      </c>
      <c r="E25" s="22"/>
      <c r="F25" s="22"/>
      <c r="G25" s="63">
        <f>'101 LS LY'!L25</f>
        <v>600</v>
      </c>
      <c r="H25" s="22" t="s">
        <v>134</v>
      </c>
      <c r="I25" s="92" t="s">
        <v>135</v>
      </c>
      <c r="J25" s="25">
        <f>'111 LS CS1'!J25</f>
        <v>0</v>
      </c>
      <c r="K25" s="22"/>
      <c r="L25" s="22"/>
      <c r="M25" s="22"/>
      <c r="N25" s="79" t="s">
        <v>128</v>
      </c>
      <c r="O25" s="22"/>
    </row>
    <row r="26" spans="2:15" ht="15" customHeight="1">
      <c r="B26" s="49" t="s">
        <v>104</v>
      </c>
      <c r="C26" s="50">
        <f>IF(I26&gt;0,I26,ROUND($C$12*G26,0))</f>
        <v>2949200</v>
      </c>
      <c r="D26" s="51">
        <f t="shared" si="0"/>
        <v>0.01</v>
      </c>
      <c r="E26" s="22"/>
      <c r="F26" s="114" t="s">
        <v>107</v>
      </c>
      <c r="G26" s="27">
        <f>'111 LS CS1'!G26</f>
        <v>0.01</v>
      </c>
      <c r="H26" s="114" t="s">
        <v>97</v>
      </c>
      <c r="I26" s="25">
        <f>'111 LS CS1'!I26</f>
        <v>0</v>
      </c>
      <c r="J26" s="22"/>
      <c r="K26" s="22"/>
      <c r="L26" s="22"/>
      <c r="M26" s="22"/>
      <c r="N26" s="78" t="s">
        <v>129</v>
      </c>
      <c r="O26" s="22"/>
    </row>
    <row r="27" spans="2:15" ht="15" customHeight="1">
      <c r="B27" s="49" t="s">
        <v>105</v>
      </c>
      <c r="C27" s="50">
        <f t="shared" ref="C27" si="2">IF(I27&gt;0,I27,ROUND($C$12*G27,0))</f>
        <v>2949200</v>
      </c>
      <c r="D27" s="51">
        <f t="shared" si="0"/>
        <v>0.01</v>
      </c>
      <c r="E27" s="22"/>
      <c r="F27" s="53" t="s">
        <v>107</v>
      </c>
      <c r="G27" s="27">
        <f>'111 LS CS1'!G27</f>
        <v>0.01</v>
      </c>
      <c r="H27" s="53" t="s">
        <v>97</v>
      </c>
      <c r="I27" s="25">
        <f>'111 LS CS1'!I27</f>
        <v>0</v>
      </c>
      <c r="J27" s="22"/>
      <c r="K27" s="22"/>
      <c r="L27" s="22"/>
      <c r="M27" s="22"/>
      <c r="N27" s="78" t="s">
        <v>129</v>
      </c>
      <c r="O27" s="22"/>
    </row>
    <row r="28" spans="2:15" ht="15" customHeight="1">
      <c r="B28" s="22"/>
      <c r="C28" s="22"/>
      <c r="D28" s="22"/>
      <c r="E28" s="22"/>
      <c r="F28" s="22"/>
      <c r="G28" s="22"/>
      <c r="H28" s="22"/>
      <c r="I28" s="22"/>
      <c r="J28" s="22"/>
      <c r="K28" s="22"/>
      <c r="L28" s="22"/>
      <c r="M28" s="22"/>
      <c r="N28" s="22"/>
      <c r="O28" s="22"/>
    </row>
    <row r="29" spans="2:15" ht="15" customHeight="1">
      <c r="B29" s="54" t="s">
        <v>112</v>
      </c>
      <c r="C29" s="55">
        <f>C12-SUM(C15,C20)</f>
        <v>147854492</v>
      </c>
      <c r="D29" s="56">
        <f>C29/$C$12</f>
        <v>0.50133762376237623</v>
      </c>
      <c r="E29" s="57"/>
      <c r="F29" s="57"/>
      <c r="G29" s="57"/>
      <c r="H29" s="57"/>
      <c r="I29" s="57"/>
      <c r="J29" s="57"/>
      <c r="K29" s="57"/>
      <c r="L29" s="57"/>
      <c r="M29" s="57"/>
      <c r="N29" s="57"/>
      <c r="O29" s="57"/>
    </row>
    <row r="31" spans="2:15" ht="15" customHeight="1">
      <c r="B31" s="21" t="s">
        <v>113</v>
      </c>
      <c r="C31" s="26">
        <f>$C$12*G31</f>
        <v>0</v>
      </c>
      <c r="D31" s="48">
        <f>C31/$C$12</f>
        <v>0</v>
      </c>
      <c r="E31" s="22"/>
      <c r="F31" s="28" t="s">
        <v>107</v>
      </c>
      <c r="G31" s="27">
        <f>'111 LS CS1'!G31</f>
        <v>0</v>
      </c>
      <c r="H31" s="22"/>
      <c r="I31" s="22"/>
      <c r="J31" s="28" t="s">
        <v>130</v>
      </c>
      <c r="K31" s="153" t="str">
        <f>'111 LS CS1'!K31</f>
        <v>-</v>
      </c>
      <c r="L31" s="153"/>
      <c r="M31" s="153"/>
      <c r="N31" s="78" t="s">
        <v>129</v>
      </c>
      <c r="O31" s="22"/>
    </row>
    <row r="32" spans="2:15" ht="15" customHeight="1">
      <c r="B32" s="21" t="s">
        <v>114</v>
      </c>
      <c r="C32" s="26">
        <f t="shared" ref="C32:C33" si="3">$C$12*G32</f>
        <v>0</v>
      </c>
      <c r="D32" s="48">
        <f t="shared" ref="D32:D36" si="4">C32/$C$12</f>
        <v>0</v>
      </c>
      <c r="E32" s="22"/>
      <c r="F32" s="52" t="s">
        <v>107</v>
      </c>
      <c r="G32" s="27">
        <f>'111 LS CS1'!G32</f>
        <v>0</v>
      </c>
      <c r="H32" s="22"/>
      <c r="I32" s="22"/>
      <c r="J32" s="52" t="s">
        <v>131</v>
      </c>
      <c r="K32" s="153" t="str">
        <f>'111 LS CS1'!K32</f>
        <v>-</v>
      </c>
      <c r="L32" s="153"/>
      <c r="M32" s="153"/>
      <c r="N32" s="78" t="s">
        <v>129</v>
      </c>
      <c r="O32" s="22"/>
    </row>
    <row r="33" spans="2:15" ht="15" customHeight="1">
      <c r="B33" s="21" t="s">
        <v>115</v>
      </c>
      <c r="C33" s="26">
        <f t="shared" si="3"/>
        <v>0</v>
      </c>
      <c r="D33" s="48">
        <f t="shared" si="4"/>
        <v>0</v>
      </c>
      <c r="E33" s="22"/>
      <c r="F33" s="53" t="s">
        <v>107</v>
      </c>
      <c r="G33" s="27">
        <f>'111 LS CS1'!G33</f>
        <v>0</v>
      </c>
      <c r="H33" s="22"/>
      <c r="I33" s="22"/>
      <c r="J33" s="52" t="s">
        <v>131</v>
      </c>
      <c r="K33" s="153" t="str">
        <f>'111 LS CS1'!K33</f>
        <v>-</v>
      </c>
      <c r="L33" s="153"/>
      <c r="M33" s="153"/>
      <c r="N33" s="78" t="s">
        <v>129</v>
      </c>
      <c r="O33" s="22"/>
    </row>
    <row r="34" spans="2:15" ht="15" customHeight="1">
      <c r="B34" s="21" t="s">
        <v>116</v>
      </c>
      <c r="C34" s="26">
        <f>I34</f>
        <v>0</v>
      </c>
      <c r="D34" s="48">
        <f t="shared" si="4"/>
        <v>0</v>
      </c>
      <c r="E34" s="22"/>
      <c r="F34" s="22"/>
      <c r="G34" s="22"/>
      <c r="H34" s="28" t="s">
        <v>119</v>
      </c>
      <c r="I34" s="25">
        <f>'111 LS CS1'!I34</f>
        <v>0</v>
      </c>
      <c r="J34" s="52" t="s">
        <v>131</v>
      </c>
      <c r="K34" s="153" t="str">
        <f>'111 LS CS1'!K34</f>
        <v>-</v>
      </c>
      <c r="L34" s="153"/>
      <c r="M34" s="153"/>
      <c r="N34" s="80" t="s">
        <v>126</v>
      </c>
      <c r="O34" s="22"/>
    </row>
    <row r="35" spans="2:15" ht="15" customHeight="1">
      <c r="B35" s="21" t="s">
        <v>117</v>
      </c>
      <c r="C35" s="26">
        <f t="shared" ref="C35:C36" si="5">I35</f>
        <v>0</v>
      </c>
      <c r="D35" s="48">
        <f t="shared" si="4"/>
        <v>0</v>
      </c>
      <c r="E35" s="22"/>
      <c r="F35" s="22"/>
      <c r="G35" s="22"/>
      <c r="H35" s="52" t="s">
        <v>119</v>
      </c>
      <c r="I35" s="25">
        <f>'111 LS CS1'!I35</f>
        <v>0</v>
      </c>
      <c r="J35" s="52" t="s">
        <v>131</v>
      </c>
      <c r="K35" s="153" t="str">
        <f>'111 LS CS1'!K35</f>
        <v>-</v>
      </c>
      <c r="L35" s="153"/>
      <c r="M35" s="153"/>
      <c r="N35" s="80" t="s">
        <v>126</v>
      </c>
      <c r="O35" s="22"/>
    </row>
    <row r="36" spans="2:15" ht="15" customHeight="1">
      <c r="B36" s="21" t="s">
        <v>118</v>
      </c>
      <c r="C36" s="26">
        <f t="shared" si="5"/>
        <v>0</v>
      </c>
      <c r="D36" s="48">
        <f t="shared" si="4"/>
        <v>0</v>
      </c>
      <c r="E36" s="22"/>
      <c r="F36" s="22"/>
      <c r="G36" s="22"/>
      <c r="H36" s="53" t="s">
        <v>119</v>
      </c>
      <c r="I36" s="25">
        <f>'111 LS CS1'!I36</f>
        <v>0</v>
      </c>
      <c r="J36" s="52" t="s">
        <v>131</v>
      </c>
      <c r="K36" s="153" t="str">
        <f>'111 LS CS1'!K36</f>
        <v>-</v>
      </c>
      <c r="L36" s="153"/>
      <c r="M36" s="153"/>
      <c r="N36" s="80" t="s">
        <v>126</v>
      </c>
      <c r="O36" s="22"/>
    </row>
    <row r="38" spans="2:15" ht="15" customHeight="1">
      <c r="B38" s="54" t="s">
        <v>120</v>
      </c>
      <c r="C38" s="55">
        <f>C29-SUM(C31:C36)</f>
        <v>147854492</v>
      </c>
      <c r="D38" s="56">
        <f>C38/$C$12</f>
        <v>0.50133762376237623</v>
      </c>
      <c r="E38" s="57"/>
      <c r="F38" s="57"/>
      <c r="G38" s="57"/>
      <c r="H38" s="57"/>
      <c r="I38" s="57"/>
      <c r="J38" s="57"/>
      <c r="K38" s="57"/>
      <c r="L38" s="57"/>
      <c r="M38" s="57"/>
      <c r="N38" s="57"/>
      <c r="O38" s="57"/>
    </row>
    <row r="42" spans="2:15" ht="15" customHeight="1">
      <c r="B42" s="73" t="s">
        <v>78</v>
      </c>
      <c r="C42" s="21" t="s">
        <v>80</v>
      </c>
      <c r="D42" s="22"/>
      <c r="E42" s="22"/>
      <c r="F42" s="62">
        <f>'111 LS CS1'!F42</f>
        <v>1</v>
      </c>
      <c r="G42" s="63">
        <f>VLOOKUP(F42,C44:J46,8,FALSE)</f>
        <v>20000000</v>
      </c>
      <c r="H42" s="22"/>
      <c r="I42" s="64" t="s">
        <v>98</v>
      </c>
      <c r="J42" s="22"/>
      <c r="K42" s="22"/>
      <c r="L42" s="22"/>
      <c r="M42" s="22"/>
      <c r="N42" s="22"/>
      <c r="O42" s="22"/>
    </row>
    <row r="43" spans="2:15" ht="15" customHeight="1">
      <c r="B43" s="32"/>
      <c r="C43" s="22"/>
      <c r="D43" s="22"/>
      <c r="E43" s="22"/>
      <c r="F43" s="22"/>
      <c r="G43" s="22"/>
      <c r="H43" s="22"/>
      <c r="I43" s="22"/>
      <c r="J43" s="22"/>
      <c r="K43" s="22"/>
      <c r="L43" s="22"/>
      <c r="M43" s="22"/>
      <c r="N43" s="22"/>
      <c r="O43" s="22"/>
    </row>
    <row r="44" spans="2:15" ht="15" customHeight="1">
      <c r="B44" s="32"/>
      <c r="C44" s="22">
        <v>1</v>
      </c>
      <c r="D44" s="22" t="s">
        <v>53</v>
      </c>
      <c r="E44" s="22"/>
      <c r="F44" s="25">
        <v>20000000</v>
      </c>
      <c r="G44" s="22"/>
      <c r="H44" s="22"/>
      <c r="I44" s="22"/>
      <c r="J44" s="65">
        <f>F44</f>
        <v>20000000</v>
      </c>
      <c r="K44" s="22"/>
      <c r="L44" s="22"/>
      <c r="M44" s="22"/>
      <c r="N44" s="22"/>
      <c r="O44" s="22"/>
    </row>
    <row r="45" spans="2:15" ht="15" customHeight="1">
      <c r="B45" s="32"/>
      <c r="C45" s="22">
        <v>2</v>
      </c>
      <c r="D45" s="22" t="s">
        <v>54</v>
      </c>
      <c r="E45" s="22"/>
      <c r="F45" s="27">
        <f>'111 LS CS1'!F45</f>
        <v>0.1</v>
      </c>
      <c r="G45" s="22"/>
      <c r="H45" s="22"/>
      <c r="I45" s="22"/>
      <c r="J45" s="65">
        <f>ROUND(F45*C12,0)</f>
        <v>29492000</v>
      </c>
      <c r="K45" s="22"/>
      <c r="L45" s="22"/>
      <c r="M45" s="22"/>
      <c r="N45" s="22"/>
      <c r="O45" s="22"/>
    </row>
    <row r="46" spans="2:15" ht="15" customHeight="1">
      <c r="B46" s="32"/>
      <c r="C46" s="22">
        <v>3</v>
      </c>
      <c r="D46" s="22" t="s">
        <v>55</v>
      </c>
      <c r="E46" s="22"/>
      <c r="F46" s="22"/>
      <c r="G46" s="22"/>
      <c r="H46" s="28" t="s">
        <v>40</v>
      </c>
      <c r="I46" s="66">
        <f>I51+I56/'101 LS LY'!N53</f>
        <v>10</v>
      </c>
      <c r="J46" s="67">
        <f>SUM(J47:J55)</f>
        <v>29970000</v>
      </c>
      <c r="K46" s="22"/>
      <c r="L46" s="22"/>
      <c r="M46" s="22"/>
      <c r="N46" s="22"/>
      <c r="O46" s="22"/>
    </row>
    <row r="47" spans="2:15" ht="15" customHeight="1">
      <c r="B47" s="32"/>
      <c r="C47" s="22"/>
      <c r="D47" s="22"/>
      <c r="E47" s="22" t="s">
        <v>57</v>
      </c>
      <c r="F47" s="30" t="s">
        <v>58</v>
      </c>
      <c r="G47" s="25"/>
      <c r="H47" s="30" t="s">
        <v>59</v>
      </c>
      <c r="I47" s="24">
        <f>'111 LS CS1'!I47</f>
        <v>1</v>
      </c>
      <c r="J47" s="68">
        <f>G47*I47</f>
        <v>0</v>
      </c>
      <c r="K47" s="22"/>
      <c r="L47" s="22"/>
      <c r="M47" s="22"/>
      <c r="N47" s="22"/>
      <c r="O47" s="22"/>
    </row>
    <row r="48" spans="2:15" ht="15" customHeight="1">
      <c r="B48" s="32"/>
      <c r="C48" s="22"/>
      <c r="D48" s="22"/>
      <c r="E48" s="22" t="s">
        <v>60</v>
      </c>
      <c r="F48" s="69" t="s">
        <v>109</v>
      </c>
      <c r="G48" s="25">
        <f>'111 LS CS1'!G48</f>
        <v>0</v>
      </c>
      <c r="H48" s="69" t="s">
        <v>108</v>
      </c>
      <c r="I48" s="24">
        <f>'111 LS CS1'!I48</f>
        <v>0</v>
      </c>
      <c r="J48" s="68">
        <f t="shared" ref="J48:J49" si="6">G48*I48</f>
        <v>0</v>
      </c>
      <c r="K48" s="22"/>
      <c r="L48" s="22"/>
      <c r="M48" s="22"/>
      <c r="N48" s="22"/>
      <c r="O48" s="22"/>
    </row>
    <row r="49" spans="2:15" ht="15" customHeight="1">
      <c r="B49" s="32"/>
      <c r="C49" s="22"/>
      <c r="D49" s="22"/>
      <c r="E49" s="22" t="s">
        <v>62</v>
      </c>
      <c r="F49" s="69" t="s">
        <v>109</v>
      </c>
      <c r="G49" s="25">
        <f>'111 LS CS1'!G49</f>
        <v>0</v>
      </c>
      <c r="H49" s="69" t="s">
        <v>108</v>
      </c>
      <c r="I49" s="24">
        <f>'111 LS CS1'!I49</f>
        <v>0</v>
      </c>
      <c r="J49" s="68">
        <f t="shared" si="6"/>
        <v>0</v>
      </c>
      <c r="K49" s="22"/>
      <c r="L49" s="22"/>
      <c r="M49" s="22"/>
      <c r="N49" s="22"/>
      <c r="O49" s="22"/>
    </row>
    <row r="50" spans="2:15" ht="15" customHeight="1">
      <c r="B50" s="32"/>
      <c r="C50" s="22"/>
      <c r="D50" s="22"/>
      <c r="E50" s="22" t="s">
        <v>63</v>
      </c>
      <c r="F50" s="69" t="s">
        <v>109</v>
      </c>
      <c r="G50" s="25">
        <f>'111 LS CS1'!G50</f>
        <v>3330000</v>
      </c>
      <c r="H50" s="69" t="s">
        <v>108</v>
      </c>
      <c r="I50" s="24">
        <f>'111 LS CS1'!I50</f>
        <v>9</v>
      </c>
      <c r="J50" s="68">
        <f>G50*I50</f>
        <v>29970000</v>
      </c>
      <c r="K50" s="22"/>
      <c r="L50" s="22"/>
      <c r="M50" s="22"/>
      <c r="N50" s="22"/>
      <c r="O50" s="22"/>
    </row>
    <row r="51" spans="2:15" ht="15" customHeight="1">
      <c r="B51" s="32"/>
      <c r="C51" s="22"/>
      <c r="D51" s="22"/>
      <c r="E51" s="22"/>
      <c r="F51" s="22"/>
      <c r="G51" s="70"/>
      <c r="H51" s="30" t="s">
        <v>64</v>
      </c>
      <c r="I51" s="71">
        <f>SUM(I47:I50)</f>
        <v>10</v>
      </c>
      <c r="J51" s="72" t="s">
        <v>76</v>
      </c>
      <c r="K51" s="22"/>
      <c r="L51" s="22"/>
      <c r="M51" s="22"/>
      <c r="N51" s="22"/>
      <c r="O51" s="22"/>
    </row>
    <row r="52" spans="2:15" ht="15" customHeight="1">
      <c r="B52" s="32"/>
      <c r="C52" s="22"/>
      <c r="D52" s="22"/>
      <c r="E52" s="22" t="s">
        <v>65</v>
      </c>
      <c r="F52" s="30" t="s">
        <v>66</v>
      </c>
      <c r="G52" s="25">
        <f>'111 LS CS1'!G52</f>
        <v>0</v>
      </c>
      <c r="H52" s="30" t="s">
        <v>67</v>
      </c>
      <c r="I52" s="24">
        <f>'111 LS CS1'!I52</f>
        <v>0</v>
      </c>
      <c r="J52" s="68">
        <f>G52*I52</f>
        <v>0</v>
      </c>
      <c r="K52" s="22"/>
      <c r="L52" s="22"/>
      <c r="M52" s="22"/>
      <c r="N52" s="22"/>
      <c r="O52" s="22"/>
    </row>
    <row r="53" spans="2:15" ht="15" customHeight="1">
      <c r="B53" s="32"/>
      <c r="C53" s="22"/>
      <c r="D53" s="22"/>
      <c r="E53" s="22" t="s">
        <v>68</v>
      </c>
      <c r="F53" s="69" t="s">
        <v>110</v>
      </c>
      <c r="G53" s="25">
        <f>'111 LS CS1'!G53</f>
        <v>0</v>
      </c>
      <c r="H53" s="69" t="s">
        <v>111</v>
      </c>
      <c r="I53" s="24">
        <f>'111 LS CS1'!I53</f>
        <v>0</v>
      </c>
      <c r="J53" s="68">
        <f>G53*I53</f>
        <v>0</v>
      </c>
      <c r="K53" s="22"/>
      <c r="L53" s="22"/>
      <c r="M53" s="22"/>
      <c r="N53" s="22"/>
      <c r="O53" s="22"/>
    </row>
    <row r="54" spans="2:15" ht="15" customHeight="1">
      <c r="B54" s="32"/>
      <c r="C54" s="22"/>
      <c r="D54" s="22"/>
      <c r="E54" s="22" t="s">
        <v>72</v>
      </c>
      <c r="F54" s="69" t="s">
        <v>110</v>
      </c>
      <c r="G54" s="25">
        <f>'111 LS CS1'!G54</f>
        <v>0</v>
      </c>
      <c r="H54" s="69" t="s">
        <v>111</v>
      </c>
      <c r="I54" s="24">
        <f>'111 LS CS1'!I54</f>
        <v>0</v>
      </c>
      <c r="J54" s="68">
        <f>G54*I54</f>
        <v>0</v>
      </c>
      <c r="K54" s="22"/>
      <c r="L54" s="22"/>
      <c r="M54" s="22"/>
      <c r="N54" s="22"/>
      <c r="O54" s="22"/>
    </row>
    <row r="55" spans="2:15" ht="15" customHeight="1">
      <c r="B55" s="32"/>
      <c r="C55" s="22"/>
      <c r="D55" s="22"/>
      <c r="E55" s="22" t="s">
        <v>73</v>
      </c>
      <c r="F55" s="69" t="s">
        <v>110</v>
      </c>
      <c r="G55" s="25">
        <f>'111 LS CS1'!G55</f>
        <v>0</v>
      </c>
      <c r="H55" s="69" t="s">
        <v>111</v>
      </c>
      <c r="I55" s="24">
        <f>'111 LS CS1'!I55</f>
        <v>0</v>
      </c>
      <c r="J55" s="68">
        <f>G55*I55</f>
        <v>0</v>
      </c>
      <c r="K55" s="22"/>
      <c r="L55" s="22"/>
      <c r="M55" s="22"/>
      <c r="N55" s="22"/>
      <c r="O55" s="22"/>
    </row>
    <row r="56" spans="2:15" ht="15" customHeight="1">
      <c r="B56" s="74"/>
      <c r="C56" s="22"/>
      <c r="D56" s="22"/>
      <c r="E56" s="22"/>
      <c r="F56" s="22"/>
      <c r="G56" s="22"/>
      <c r="H56" s="30" t="s">
        <v>64</v>
      </c>
      <c r="I56" s="71">
        <f>SUM(I52:I55)</f>
        <v>0</v>
      </c>
      <c r="J56" s="72" t="s">
        <v>77</v>
      </c>
      <c r="K56" s="22"/>
      <c r="L56" s="74"/>
      <c r="M56" s="74"/>
      <c r="N56" s="74"/>
      <c r="O56" s="74"/>
    </row>
    <row r="58" spans="2:15" ht="15" customHeight="1">
      <c r="B58" s="73" t="s">
        <v>79</v>
      </c>
      <c r="C58" s="21" t="s">
        <v>80</v>
      </c>
      <c r="D58" s="22"/>
      <c r="E58" s="22"/>
      <c r="F58" s="62">
        <f>'111 LS CS1'!F58</f>
        <v>1</v>
      </c>
      <c r="G58" s="63">
        <f>VLOOKUP(F58,C60:N62,12,FALSE)</f>
        <v>3500000</v>
      </c>
      <c r="H58" s="22"/>
      <c r="I58" s="64" t="s">
        <v>81</v>
      </c>
      <c r="J58" s="22"/>
      <c r="K58" s="22"/>
      <c r="L58" s="22"/>
      <c r="M58" s="22"/>
      <c r="N58" s="22"/>
      <c r="O58" s="22"/>
    </row>
    <row r="59" spans="2:15" ht="15" customHeight="1">
      <c r="B59" s="32"/>
      <c r="C59" s="22"/>
      <c r="D59" s="22"/>
      <c r="E59" s="22"/>
      <c r="F59" s="22"/>
      <c r="G59" s="22"/>
      <c r="H59" s="22"/>
      <c r="I59" s="22"/>
      <c r="J59" s="22"/>
      <c r="K59" s="22"/>
      <c r="L59" s="22"/>
      <c r="M59" s="22"/>
      <c r="N59" s="22"/>
      <c r="O59" s="22"/>
    </row>
    <row r="60" spans="2:15" ht="15" customHeight="1">
      <c r="B60" s="32"/>
      <c r="C60" s="22">
        <v>1</v>
      </c>
      <c r="D60" s="22" t="s">
        <v>53</v>
      </c>
      <c r="E60" s="22"/>
      <c r="F60" s="22"/>
      <c r="G60" s="25">
        <v>3500000</v>
      </c>
      <c r="H60" s="22"/>
      <c r="I60" s="22"/>
      <c r="J60" s="22"/>
      <c r="K60" s="22"/>
      <c r="L60" s="22"/>
      <c r="M60" s="22"/>
      <c r="N60" s="65">
        <f>G60</f>
        <v>3500000</v>
      </c>
      <c r="O60" s="22"/>
    </row>
    <row r="61" spans="2:15" ht="15" customHeight="1">
      <c r="B61" s="32"/>
      <c r="C61" s="22">
        <v>2</v>
      </c>
      <c r="D61" s="22" t="s">
        <v>54</v>
      </c>
      <c r="E61" s="22"/>
      <c r="F61" s="22"/>
      <c r="G61" s="27">
        <f>'111 LS CS1'!G61</f>
        <v>1.2E-2</v>
      </c>
      <c r="H61" s="22"/>
      <c r="I61" s="22"/>
      <c r="J61" s="22"/>
      <c r="K61" s="22"/>
      <c r="L61" s="22"/>
      <c r="M61" s="22"/>
      <c r="N61" s="65">
        <f>ROUND(G61*C12,0)</f>
        <v>3539040</v>
      </c>
      <c r="O61" s="22"/>
    </row>
    <row r="62" spans="2:15" ht="15" customHeight="1">
      <c r="B62" s="74"/>
      <c r="C62" s="22">
        <v>3</v>
      </c>
      <c r="D62" s="21" t="s">
        <v>82</v>
      </c>
      <c r="E62" s="22"/>
      <c r="F62" s="28" t="s">
        <v>83</v>
      </c>
      <c r="G62" s="25">
        <f>'111 LS CS1'!G62</f>
        <v>2500</v>
      </c>
      <c r="H62" s="28" t="s">
        <v>84</v>
      </c>
      <c r="I62" s="24">
        <f>'111 LS CS1'!I62</f>
        <v>1</v>
      </c>
      <c r="J62" s="28" t="s">
        <v>85</v>
      </c>
      <c r="K62" s="24">
        <f>'111 LS CS1'!K62</f>
        <v>150</v>
      </c>
      <c r="L62" s="28" t="s">
        <v>86</v>
      </c>
      <c r="M62" s="24">
        <f>'111 LS CS1'!M62</f>
        <v>12</v>
      </c>
      <c r="N62" s="65">
        <f>G62*I62*K62*M62</f>
        <v>4500000</v>
      </c>
      <c r="O62" s="22"/>
    </row>
    <row r="64" spans="2:15" ht="15" customHeight="1">
      <c r="B64" s="73" t="s">
        <v>87</v>
      </c>
      <c r="C64" s="21" t="s">
        <v>80</v>
      </c>
      <c r="D64" s="22"/>
      <c r="E64" s="22"/>
      <c r="F64" s="62">
        <f>'111 LS CS1'!F64</f>
        <v>1</v>
      </c>
      <c r="G64" s="63">
        <f>VLOOKUP(F64,C66:N68,12,FALSE)</f>
        <v>10000000</v>
      </c>
      <c r="H64" s="22"/>
      <c r="I64" s="64" t="s">
        <v>81</v>
      </c>
      <c r="J64" s="22"/>
      <c r="K64" s="22"/>
      <c r="L64" s="22"/>
      <c r="M64" s="22"/>
      <c r="N64" s="22"/>
      <c r="O64" s="22"/>
    </row>
    <row r="65" spans="2:15" ht="15" customHeight="1">
      <c r="B65" s="32"/>
      <c r="C65" s="22"/>
      <c r="D65" s="22"/>
      <c r="E65" s="22"/>
      <c r="F65" s="22"/>
      <c r="G65" s="22"/>
      <c r="H65" s="22"/>
      <c r="I65" s="22"/>
      <c r="J65" s="22"/>
      <c r="K65" s="22"/>
      <c r="L65" s="22"/>
      <c r="M65" s="22"/>
      <c r="N65" s="22"/>
      <c r="O65" s="22"/>
    </row>
    <row r="66" spans="2:15" ht="15" customHeight="1">
      <c r="B66" s="32"/>
      <c r="C66" s="22">
        <v>1</v>
      </c>
      <c r="D66" s="22" t="s">
        <v>53</v>
      </c>
      <c r="E66" s="22"/>
      <c r="F66" s="22"/>
      <c r="G66" s="25">
        <v>10000000</v>
      </c>
      <c r="H66" s="22"/>
      <c r="I66" s="22"/>
      <c r="J66" s="22"/>
      <c r="K66" s="22"/>
      <c r="L66" s="22"/>
      <c r="M66" s="22"/>
      <c r="N66" s="65">
        <f>G66</f>
        <v>10000000</v>
      </c>
      <c r="O66" s="22"/>
    </row>
    <row r="67" spans="2:15" ht="15" customHeight="1">
      <c r="B67" s="32"/>
      <c r="C67" s="22">
        <v>2</v>
      </c>
      <c r="D67" s="22" t="s">
        <v>54</v>
      </c>
      <c r="E67" s="22"/>
      <c r="F67" s="22"/>
      <c r="G67" s="27">
        <f>'111 LS CS1'!G67</f>
        <v>3.5000000000000003E-2</v>
      </c>
      <c r="H67" s="22"/>
      <c r="I67" s="22"/>
      <c r="J67" s="22"/>
      <c r="K67" s="22"/>
      <c r="L67" s="22"/>
      <c r="M67" s="22"/>
      <c r="N67" s="65">
        <f>ROUND(G67*C12,0)</f>
        <v>10322200</v>
      </c>
      <c r="O67" s="22"/>
    </row>
    <row r="68" spans="2:15" ht="15" customHeight="1">
      <c r="B68" s="74"/>
      <c r="C68" s="22">
        <v>3</v>
      </c>
      <c r="D68" s="21" t="s">
        <v>82</v>
      </c>
      <c r="E68" s="22"/>
      <c r="F68" s="28" t="s">
        <v>83</v>
      </c>
      <c r="G68" s="25">
        <f>'111 LS CS1'!G68</f>
        <v>2500</v>
      </c>
      <c r="H68" s="28" t="s">
        <v>84</v>
      </c>
      <c r="I68" s="24">
        <f>'111 LS CS1'!I68</f>
        <v>7</v>
      </c>
      <c r="J68" s="28" t="s">
        <v>85</v>
      </c>
      <c r="K68" s="24">
        <f>'111 LS CS1'!K68</f>
        <v>365</v>
      </c>
      <c r="L68" s="28" t="s">
        <v>86</v>
      </c>
      <c r="M68" s="24">
        <f>'111 LS CS1'!M68</f>
        <v>2</v>
      </c>
      <c r="N68" s="65">
        <f>G68*I68*K68*M68</f>
        <v>12775000</v>
      </c>
      <c r="O68" s="22"/>
    </row>
    <row r="70" spans="2:15" ht="15" customHeight="1">
      <c r="B70" s="73" t="s">
        <v>137</v>
      </c>
      <c r="C70" s="21" t="s">
        <v>140</v>
      </c>
      <c r="D70" s="22"/>
      <c r="E70" s="22"/>
      <c r="F70" s="62">
        <v>1</v>
      </c>
      <c r="G70" s="63">
        <f>VLOOKUP(F70,C72:N73,12,FALSE)</f>
        <v>32441200</v>
      </c>
      <c r="H70" s="22"/>
      <c r="I70" s="64" t="s">
        <v>81</v>
      </c>
      <c r="J70" s="22"/>
      <c r="K70" s="22"/>
      <c r="L70" s="22"/>
      <c r="M70" s="22"/>
      <c r="N70" s="22"/>
      <c r="O70" s="22"/>
    </row>
    <row r="71" spans="2:15" ht="15" customHeight="1">
      <c r="B71" s="32"/>
      <c r="C71" s="22"/>
      <c r="D71" s="22"/>
      <c r="E71" s="22"/>
      <c r="F71" s="22"/>
      <c r="G71" s="22"/>
      <c r="H71" s="22"/>
      <c r="I71" s="22"/>
      <c r="J71" s="22"/>
      <c r="K71" s="22"/>
      <c r="L71" s="22"/>
      <c r="M71" s="22"/>
      <c r="N71" s="22"/>
      <c r="O71" s="22"/>
    </row>
    <row r="72" spans="2:15" ht="15" customHeight="1">
      <c r="B72" s="32"/>
      <c r="C72" s="22">
        <v>1</v>
      </c>
      <c r="D72" s="21" t="s">
        <v>138</v>
      </c>
      <c r="E72" s="22"/>
      <c r="F72" s="22"/>
      <c r="G72" s="48">
        <f>'101 LS LY'!D24</f>
        <v>0.11</v>
      </c>
      <c r="H72" s="22"/>
      <c r="I72" s="22"/>
      <c r="J72" s="22"/>
      <c r="K72" s="22"/>
      <c r="L72" s="22"/>
      <c r="M72" s="22"/>
      <c r="N72" s="65">
        <f>G72*C12</f>
        <v>32441200</v>
      </c>
      <c r="O72" s="113">
        <f>N72/$C$10</f>
        <v>0.11</v>
      </c>
    </row>
    <row r="73" spans="2:15" ht="15" customHeight="1">
      <c r="B73" s="32"/>
      <c r="C73" s="75">
        <v>2</v>
      </c>
      <c r="D73" s="73" t="s">
        <v>141</v>
      </c>
      <c r="E73" s="75"/>
      <c r="F73" s="1" t="s">
        <v>144</v>
      </c>
      <c r="G73" s="103" t="s">
        <v>167</v>
      </c>
      <c r="H73" s="28" t="s">
        <v>145</v>
      </c>
      <c r="I73" s="82" t="s">
        <v>168</v>
      </c>
      <c r="J73" s="28" t="s">
        <v>38</v>
      </c>
      <c r="K73" s="102" t="s">
        <v>165</v>
      </c>
      <c r="L73" s="103" t="s">
        <v>166</v>
      </c>
      <c r="N73" s="96">
        <f>I99</f>
        <v>36716550</v>
      </c>
      <c r="O73" s="113">
        <f>N73/$C$10</f>
        <v>0.12449664315746643</v>
      </c>
    </row>
    <row r="74" spans="2:15" ht="15" customHeight="1">
      <c r="B74" s="32"/>
      <c r="C74" s="22"/>
      <c r="D74" s="22">
        <v>1</v>
      </c>
      <c r="E74" s="78" t="s">
        <v>142</v>
      </c>
      <c r="F74" s="27">
        <f>'111 LS CS1'!F74</f>
        <v>0.1</v>
      </c>
      <c r="G74" s="97">
        <f>ROUND(F74*$J$7,0)</f>
        <v>2949</v>
      </c>
      <c r="H74" s="27">
        <f>'111 LS CS1'!H74</f>
        <v>0.02</v>
      </c>
      <c r="I74" s="63">
        <f>ROUND(H74*L74,0)</f>
        <v>530820</v>
      </c>
      <c r="J74" s="63">
        <f t="shared" ref="J74:J98" si="7">IF(G74&gt;0,IF(K74&gt;0,K74,$C$8),"")</f>
        <v>9000</v>
      </c>
      <c r="K74" s="25">
        <f>'111 LS CS1'!K74</f>
        <v>9000</v>
      </c>
      <c r="L74" s="67">
        <f>IFERROR(J74*G74,0)</f>
        <v>26541000</v>
      </c>
      <c r="M74" s="22"/>
      <c r="N74" s="22"/>
      <c r="O74" s="22"/>
    </row>
    <row r="75" spans="2:15" ht="15" customHeight="1">
      <c r="B75" s="32"/>
      <c r="C75" s="22"/>
      <c r="D75" s="22">
        <v>2</v>
      </c>
      <c r="E75" s="98" t="s">
        <v>148</v>
      </c>
      <c r="F75" s="27">
        <f>'111 LS CS1'!F75</f>
        <v>0</v>
      </c>
      <c r="G75" s="97">
        <f t="shared" ref="G75:G98" si="8">ROUND(F75*$J$7,0)</f>
        <v>0</v>
      </c>
      <c r="H75" s="27">
        <f>'111 LS CS1'!H75</f>
        <v>0</v>
      </c>
      <c r="I75" s="63">
        <f t="shared" ref="I75:I98" si="9">ROUND(H75*L75,0)</f>
        <v>0</v>
      </c>
      <c r="J75" s="63" t="str">
        <f t="shared" si="7"/>
        <v/>
      </c>
      <c r="K75" s="25">
        <f>'111 LS CS1'!K75</f>
        <v>0</v>
      </c>
      <c r="L75" s="67">
        <f t="shared" ref="L75:L87" si="10">IFERROR(J75*G75,0)</f>
        <v>0</v>
      </c>
      <c r="M75" s="22"/>
      <c r="N75" s="22"/>
      <c r="O75" s="22"/>
    </row>
    <row r="76" spans="2:15" ht="15" customHeight="1">
      <c r="B76" s="32"/>
      <c r="C76" s="22"/>
      <c r="D76" s="22">
        <v>3</v>
      </c>
      <c r="E76" s="98" t="s">
        <v>149</v>
      </c>
      <c r="F76" s="27">
        <f>'111 LS CS1'!F76</f>
        <v>0</v>
      </c>
      <c r="G76" s="97">
        <f t="shared" si="8"/>
        <v>0</v>
      </c>
      <c r="H76" s="27">
        <f>'111 LS CS1'!H76</f>
        <v>0</v>
      </c>
      <c r="I76" s="63">
        <f t="shared" si="9"/>
        <v>0</v>
      </c>
      <c r="J76" s="63" t="str">
        <f t="shared" si="7"/>
        <v/>
      </c>
      <c r="K76" s="25">
        <f>'111 LS CS1'!K76</f>
        <v>0</v>
      </c>
      <c r="L76" s="67">
        <f t="shared" si="10"/>
        <v>0</v>
      </c>
      <c r="M76" s="22"/>
      <c r="N76" s="22"/>
      <c r="O76" s="22"/>
    </row>
    <row r="77" spans="2:15" ht="15" customHeight="1">
      <c r="B77" s="32"/>
      <c r="C77" s="22"/>
      <c r="D77" s="22">
        <v>4</v>
      </c>
      <c r="E77" s="98" t="s">
        <v>150</v>
      </c>
      <c r="F77" s="27">
        <f>'111 LS CS1'!F77</f>
        <v>0</v>
      </c>
      <c r="G77" s="97">
        <f t="shared" si="8"/>
        <v>0</v>
      </c>
      <c r="H77" s="27">
        <f>'111 LS CS1'!H77</f>
        <v>0</v>
      </c>
      <c r="I77" s="63">
        <f t="shared" si="9"/>
        <v>0</v>
      </c>
      <c r="J77" s="63" t="str">
        <f t="shared" si="7"/>
        <v/>
      </c>
      <c r="K77" s="25">
        <f>'111 LS CS1'!K77</f>
        <v>0</v>
      </c>
      <c r="L77" s="67">
        <f t="shared" si="10"/>
        <v>0</v>
      </c>
      <c r="M77" s="22"/>
      <c r="N77" s="22"/>
      <c r="O77" s="22"/>
    </row>
    <row r="78" spans="2:15" ht="15" customHeight="1">
      <c r="B78" s="32"/>
      <c r="C78" s="22"/>
      <c r="D78" s="22">
        <v>5</v>
      </c>
      <c r="E78" s="98" t="s">
        <v>156</v>
      </c>
      <c r="F78" s="27">
        <f>'111 LS CS1'!F78</f>
        <v>0.3</v>
      </c>
      <c r="G78" s="97">
        <f t="shared" si="8"/>
        <v>8848</v>
      </c>
      <c r="H78" s="27">
        <f>'111 LS CS1'!H78</f>
        <v>0.1</v>
      </c>
      <c r="I78" s="63">
        <f t="shared" si="9"/>
        <v>8848000</v>
      </c>
      <c r="J78" s="63">
        <f t="shared" si="7"/>
        <v>10000</v>
      </c>
      <c r="K78" s="25">
        <f>'111 LS CS1'!K78</f>
        <v>0</v>
      </c>
      <c r="L78" s="67">
        <f t="shared" si="10"/>
        <v>88480000</v>
      </c>
      <c r="M78" s="22"/>
      <c r="N78" s="22"/>
      <c r="O78" s="22"/>
    </row>
    <row r="79" spans="2:15" ht="15" customHeight="1">
      <c r="B79" s="32"/>
      <c r="C79" s="22"/>
      <c r="D79" s="22">
        <v>6</v>
      </c>
      <c r="E79" s="80" t="s">
        <v>151</v>
      </c>
      <c r="F79" s="27">
        <f>'111 LS CS1'!F79</f>
        <v>0</v>
      </c>
      <c r="G79" s="97">
        <f t="shared" si="8"/>
        <v>0</v>
      </c>
      <c r="H79" s="27">
        <f>'111 LS CS1'!H79</f>
        <v>0</v>
      </c>
      <c r="I79" s="63">
        <f t="shared" si="9"/>
        <v>0</v>
      </c>
      <c r="J79" s="63" t="str">
        <f t="shared" si="7"/>
        <v/>
      </c>
      <c r="K79" s="25">
        <f>'111 LS CS1'!K79</f>
        <v>0</v>
      </c>
      <c r="L79" s="67">
        <f t="shared" si="10"/>
        <v>0</v>
      </c>
      <c r="M79" s="22"/>
      <c r="N79" s="22"/>
      <c r="O79" s="22"/>
    </row>
    <row r="80" spans="2:15" ht="15" customHeight="1">
      <c r="B80" s="32"/>
      <c r="C80" s="22"/>
      <c r="D80" s="22">
        <v>7</v>
      </c>
      <c r="E80" s="80" t="s">
        <v>152</v>
      </c>
      <c r="F80" s="27">
        <f>'111 LS CS1'!F80</f>
        <v>0</v>
      </c>
      <c r="G80" s="97">
        <f t="shared" si="8"/>
        <v>0</v>
      </c>
      <c r="H80" s="27">
        <f>'111 LS CS1'!H80</f>
        <v>0</v>
      </c>
      <c r="I80" s="63">
        <f t="shared" si="9"/>
        <v>0</v>
      </c>
      <c r="J80" s="63" t="str">
        <f t="shared" si="7"/>
        <v/>
      </c>
      <c r="K80" s="25">
        <f>'111 LS CS1'!K80</f>
        <v>0</v>
      </c>
      <c r="L80" s="67">
        <f t="shared" si="10"/>
        <v>0</v>
      </c>
      <c r="M80" s="22"/>
      <c r="N80" s="22"/>
      <c r="O80" s="22"/>
    </row>
    <row r="81" spans="2:15" ht="15" customHeight="1">
      <c r="B81" s="32"/>
      <c r="C81" s="22"/>
      <c r="D81" s="22">
        <v>8</v>
      </c>
      <c r="E81" s="80" t="s">
        <v>153</v>
      </c>
      <c r="F81" s="27">
        <f>'111 LS CS1'!F81</f>
        <v>0</v>
      </c>
      <c r="G81" s="97">
        <f t="shared" si="8"/>
        <v>0</v>
      </c>
      <c r="H81" s="27">
        <f>'111 LS CS1'!H81</f>
        <v>0</v>
      </c>
      <c r="I81" s="63">
        <f t="shared" si="9"/>
        <v>0</v>
      </c>
      <c r="J81" s="63" t="str">
        <f t="shared" si="7"/>
        <v/>
      </c>
      <c r="K81" s="25">
        <f>'111 LS CS1'!K81</f>
        <v>0</v>
      </c>
      <c r="L81" s="67">
        <f t="shared" si="10"/>
        <v>0</v>
      </c>
      <c r="M81" s="22"/>
      <c r="N81" s="22"/>
      <c r="O81" s="22"/>
    </row>
    <row r="82" spans="2:15" ht="15" customHeight="1">
      <c r="B82" s="32"/>
      <c r="C82" s="22"/>
      <c r="D82" s="22">
        <v>9</v>
      </c>
      <c r="E82" s="80" t="s">
        <v>154</v>
      </c>
      <c r="F82" s="27">
        <f>'111 LS CS1'!F82</f>
        <v>0</v>
      </c>
      <c r="G82" s="97">
        <f t="shared" si="8"/>
        <v>0</v>
      </c>
      <c r="H82" s="27">
        <f>'111 LS CS1'!H82</f>
        <v>0</v>
      </c>
      <c r="I82" s="63">
        <f t="shared" si="9"/>
        <v>0</v>
      </c>
      <c r="J82" s="63" t="str">
        <f t="shared" si="7"/>
        <v/>
      </c>
      <c r="K82" s="25">
        <f>'111 LS CS1'!K82</f>
        <v>0</v>
      </c>
      <c r="L82" s="67">
        <f t="shared" si="10"/>
        <v>0</v>
      </c>
      <c r="M82" s="22"/>
      <c r="N82" s="22"/>
      <c r="O82" s="22"/>
    </row>
    <row r="83" spans="2:15" ht="15" customHeight="1">
      <c r="B83" s="32"/>
      <c r="C83" s="22"/>
      <c r="D83" s="22">
        <v>10</v>
      </c>
      <c r="E83" s="80" t="s">
        <v>155</v>
      </c>
      <c r="F83" s="27">
        <f>'111 LS CS1'!F83</f>
        <v>0.2</v>
      </c>
      <c r="G83" s="97">
        <f t="shared" si="8"/>
        <v>5898</v>
      </c>
      <c r="H83" s="27">
        <f>'111 LS CS1'!H83</f>
        <v>0.19</v>
      </c>
      <c r="I83" s="63">
        <f t="shared" si="9"/>
        <v>13447440</v>
      </c>
      <c r="J83" s="63">
        <f t="shared" si="7"/>
        <v>12000</v>
      </c>
      <c r="K83" s="25">
        <f>'111 LS CS1'!K83</f>
        <v>12000</v>
      </c>
      <c r="L83" s="67">
        <f t="shared" si="10"/>
        <v>70776000</v>
      </c>
      <c r="M83" s="22"/>
      <c r="N83" s="22"/>
      <c r="O83" s="22"/>
    </row>
    <row r="84" spans="2:15" ht="15" customHeight="1">
      <c r="B84" s="32"/>
      <c r="C84" s="22"/>
      <c r="D84" s="22">
        <v>11</v>
      </c>
      <c r="E84" s="80" t="s">
        <v>158</v>
      </c>
      <c r="F84" s="27">
        <f>'111 LS CS1'!F84</f>
        <v>0.1</v>
      </c>
      <c r="G84" s="97">
        <f t="shared" si="8"/>
        <v>2949</v>
      </c>
      <c r="H84" s="27">
        <f>'111 LS CS1'!H84</f>
        <v>0.16</v>
      </c>
      <c r="I84" s="63">
        <f t="shared" si="9"/>
        <v>4718400</v>
      </c>
      <c r="J84" s="63">
        <f t="shared" si="7"/>
        <v>10000</v>
      </c>
      <c r="K84" s="25">
        <f>'111 LS CS1'!K84</f>
        <v>0</v>
      </c>
      <c r="L84" s="67">
        <f t="shared" si="10"/>
        <v>29490000</v>
      </c>
      <c r="M84" s="22"/>
      <c r="N84" s="22"/>
      <c r="O84" s="22"/>
    </row>
    <row r="85" spans="2:15" ht="15" customHeight="1">
      <c r="B85" s="32"/>
      <c r="C85" s="22"/>
      <c r="D85" s="22">
        <v>12</v>
      </c>
      <c r="E85" s="80" t="s">
        <v>157</v>
      </c>
      <c r="F85" s="27">
        <f>'111 LS CS1'!F85</f>
        <v>0</v>
      </c>
      <c r="G85" s="97">
        <f t="shared" si="8"/>
        <v>0</v>
      </c>
      <c r="H85" s="27">
        <f>'111 LS CS1'!H85</f>
        <v>0</v>
      </c>
      <c r="I85" s="63">
        <f t="shared" si="9"/>
        <v>0</v>
      </c>
      <c r="J85" s="63" t="str">
        <f t="shared" si="7"/>
        <v/>
      </c>
      <c r="K85" s="25">
        <f>'111 LS CS1'!K85</f>
        <v>0</v>
      </c>
      <c r="L85" s="67">
        <f t="shared" si="10"/>
        <v>0</v>
      </c>
      <c r="M85" s="22"/>
      <c r="N85" s="22"/>
      <c r="O85" s="22"/>
    </row>
    <row r="86" spans="2:15" ht="15" customHeight="1">
      <c r="B86" s="32"/>
      <c r="C86" s="22"/>
      <c r="D86" s="22">
        <v>13</v>
      </c>
      <c r="E86" s="99" t="str">
        <f>'111 LS CS1'!E86</f>
        <v>‐</v>
      </c>
      <c r="F86" s="27">
        <f>'111 LS CS1'!F86</f>
        <v>0</v>
      </c>
      <c r="G86" s="97">
        <f t="shared" si="8"/>
        <v>0</v>
      </c>
      <c r="H86" s="27">
        <f>'111 LS CS1'!H86</f>
        <v>0</v>
      </c>
      <c r="I86" s="63">
        <f t="shared" si="9"/>
        <v>0</v>
      </c>
      <c r="J86" s="63" t="str">
        <f t="shared" si="7"/>
        <v/>
      </c>
      <c r="K86" s="25">
        <f>'111 LS CS1'!K86</f>
        <v>0</v>
      </c>
      <c r="L86" s="67">
        <f t="shared" si="10"/>
        <v>0</v>
      </c>
      <c r="M86" s="22"/>
      <c r="N86" s="22"/>
      <c r="O86" s="22"/>
    </row>
    <row r="87" spans="2:15" ht="15" customHeight="1">
      <c r="B87" s="32"/>
      <c r="C87" s="22"/>
      <c r="D87" s="22">
        <v>14</v>
      </c>
      <c r="E87" s="99" t="str">
        <f>'111 LS CS1'!E87</f>
        <v>‐</v>
      </c>
      <c r="F87" s="27">
        <f>'111 LS CS1'!F87</f>
        <v>0</v>
      </c>
      <c r="G87" s="97">
        <f t="shared" si="8"/>
        <v>0</v>
      </c>
      <c r="H87" s="27">
        <f>'111 LS CS1'!H87</f>
        <v>0</v>
      </c>
      <c r="I87" s="63">
        <f t="shared" si="9"/>
        <v>0</v>
      </c>
      <c r="J87" s="63" t="str">
        <f t="shared" si="7"/>
        <v/>
      </c>
      <c r="K87" s="25">
        <f>'111 LS CS1'!K87</f>
        <v>0</v>
      </c>
      <c r="L87" s="67">
        <f t="shared" si="10"/>
        <v>0</v>
      </c>
      <c r="M87" s="22"/>
      <c r="N87" s="22"/>
      <c r="O87" s="22"/>
    </row>
    <row r="88" spans="2:15" ht="15" customHeight="1">
      <c r="B88" s="32"/>
      <c r="C88" s="22"/>
      <c r="D88" s="108">
        <v>15</v>
      </c>
      <c r="E88" s="108" t="str">
        <f>'111 LS CS1'!E88</f>
        <v>個人　その他</v>
      </c>
      <c r="F88" s="111">
        <f>'111 LS CS1'!F88</f>
        <v>9.9999999999999867E-2</v>
      </c>
      <c r="G88" s="109">
        <f>J7-SUM(G74:G87,G89:G98)</f>
        <v>2950</v>
      </c>
      <c r="H88" s="27">
        <f>'111 LS CS1'!H88</f>
        <v>0.05</v>
      </c>
      <c r="I88" s="110">
        <f t="shared" si="9"/>
        <v>1622450</v>
      </c>
      <c r="J88" s="112">
        <f>IFERROR(L88/G88,"Error")</f>
        <v>10999.661016949152</v>
      </c>
      <c r="K88" s="25">
        <f>'111 LS CS1'!K88</f>
        <v>0</v>
      </c>
      <c r="L88" s="101">
        <f>C10-SUM(L74:L87,L89:L98)</f>
        <v>32449000</v>
      </c>
      <c r="M88" s="108"/>
      <c r="N88" s="108"/>
      <c r="O88" s="108"/>
    </row>
    <row r="89" spans="2:15" ht="15" customHeight="1">
      <c r="B89" s="32"/>
      <c r="C89" s="22"/>
      <c r="D89" s="22">
        <v>16</v>
      </c>
      <c r="E89" s="99" t="str">
        <f>'111 LS CS1'!E89</f>
        <v>団体　国内募集旅行</v>
      </c>
      <c r="F89" s="27">
        <f>'111 LS CS1'!F89</f>
        <v>0</v>
      </c>
      <c r="G89" s="97">
        <f t="shared" si="8"/>
        <v>0</v>
      </c>
      <c r="H89" s="27">
        <f>'111 LS CS1'!H89</f>
        <v>0</v>
      </c>
      <c r="I89" s="63">
        <f t="shared" si="9"/>
        <v>0</v>
      </c>
      <c r="J89" s="63" t="str">
        <f t="shared" si="7"/>
        <v/>
      </c>
      <c r="K89" s="25">
        <f>'111 LS CS1'!K89</f>
        <v>0</v>
      </c>
      <c r="L89" s="67">
        <f t="shared" ref="L89:L98" si="11">IFERROR(J89*G89,0)</f>
        <v>0</v>
      </c>
      <c r="M89" s="22"/>
      <c r="N89" s="22"/>
      <c r="O89" s="22"/>
    </row>
    <row r="90" spans="2:15" ht="15" customHeight="1">
      <c r="B90" s="32"/>
      <c r="C90" s="22"/>
      <c r="D90" s="22">
        <v>17</v>
      </c>
      <c r="E90" s="99" t="str">
        <f>'111 LS CS1'!E90</f>
        <v>団体　国内その他</v>
      </c>
      <c r="F90" s="27">
        <f>'111 LS CS1'!F90</f>
        <v>0.2</v>
      </c>
      <c r="G90" s="97">
        <f t="shared" si="8"/>
        <v>5898</v>
      </c>
      <c r="H90" s="27">
        <f>'111 LS CS1'!H90</f>
        <v>0.16</v>
      </c>
      <c r="I90" s="63">
        <f t="shared" si="9"/>
        <v>7549440</v>
      </c>
      <c r="J90" s="63">
        <f t="shared" si="7"/>
        <v>8000</v>
      </c>
      <c r="K90" s="25">
        <f>'111 LS CS1'!K90</f>
        <v>8000</v>
      </c>
      <c r="L90" s="67">
        <f t="shared" si="11"/>
        <v>47184000</v>
      </c>
      <c r="M90" s="22"/>
      <c r="N90" s="22"/>
      <c r="O90" s="22"/>
    </row>
    <row r="91" spans="2:15" ht="15" customHeight="1">
      <c r="B91" s="32"/>
      <c r="C91" s="22"/>
      <c r="D91" s="22">
        <v>18</v>
      </c>
      <c r="E91" s="99" t="str">
        <f>'111 LS CS1'!E91</f>
        <v>団体　インバウンド　</v>
      </c>
      <c r="F91" s="27">
        <f>'111 LS CS1'!F91</f>
        <v>0</v>
      </c>
      <c r="G91" s="97">
        <f t="shared" si="8"/>
        <v>0</v>
      </c>
      <c r="H91" s="27">
        <f>'111 LS CS1'!H91</f>
        <v>0</v>
      </c>
      <c r="I91" s="63">
        <f t="shared" si="9"/>
        <v>0</v>
      </c>
      <c r="J91" s="63" t="str">
        <f t="shared" si="7"/>
        <v/>
      </c>
      <c r="K91" s="25">
        <f>'111 LS CS1'!K91</f>
        <v>0</v>
      </c>
      <c r="L91" s="67">
        <f t="shared" si="11"/>
        <v>0</v>
      </c>
      <c r="M91" s="22"/>
      <c r="N91" s="22"/>
      <c r="O91" s="22"/>
    </row>
    <row r="92" spans="2:15" ht="15" customHeight="1">
      <c r="B92" s="32"/>
      <c r="C92" s="22"/>
      <c r="D92" s="22">
        <v>19</v>
      </c>
      <c r="E92" s="99" t="str">
        <f>'111 LS CS1'!E92</f>
        <v>団体　インバウンド　</v>
      </c>
      <c r="F92" s="27">
        <f>'111 LS CS1'!F92</f>
        <v>0</v>
      </c>
      <c r="G92" s="97">
        <f t="shared" si="8"/>
        <v>0</v>
      </c>
      <c r="H92" s="27">
        <f>'111 LS CS1'!H92</f>
        <v>0</v>
      </c>
      <c r="I92" s="63">
        <f t="shared" si="9"/>
        <v>0</v>
      </c>
      <c r="J92" s="63" t="str">
        <f t="shared" si="7"/>
        <v/>
      </c>
      <c r="K92" s="25">
        <f>'111 LS CS1'!K92</f>
        <v>0</v>
      </c>
      <c r="L92" s="67">
        <f t="shared" si="11"/>
        <v>0</v>
      </c>
      <c r="M92" s="22"/>
      <c r="N92" s="22"/>
      <c r="O92" s="22"/>
    </row>
    <row r="93" spans="2:15" ht="15" customHeight="1">
      <c r="B93" s="32"/>
      <c r="C93" s="22"/>
      <c r="D93" s="22">
        <v>20</v>
      </c>
      <c r="E93" s="99" t="str">
        <f>'111 LS CS1'!E93</f>
        <v>‐</v>
      </c>
      <c r="F93" s="27">
        <f>'111 LS CS1'!F93</f>
        <v>0</v>
      </c>
      <c r="G93" s="97">
        <f t="shared" si="8"/>
        <v>0</v>
      </c>
      <c r="H93" s="27">
        <f>'111 LS CS1'!H93</f>
        <v>0</v>
      </c>
      <c r="I93" s="63">
        <f t="shared" si="9"/>
        <v>0</v>
      </c>
      <c r="J93" s="63" t="str">
        <f t="shared" si="7"/>
        <v/>
      </c>
      <c r="K93" s="25">
        <f>'111 LS CS1'!K93</f>
        <v>0</v>
      </c>
      <c r="L93" s="67">
        <f t="shared" si="11"/>
        <v>0</v>
      </c>
      <c r="M93" s="22"/>
      <c r="N93" s="22"/>
      <c r="O93" s="22"/>
    </row>
    <row r="94" spans="2:15" ht="15" customHeight="1">
      <c r="B94" s="32"/>
      <c r="C94" s="22"/>
      <c r="D94" s="22">
        <v>21</v>
      </c>
      <c r="E94" s="99" t="str">
        <f>'111 LS CS1'!E94</f>
        <v>‐</v>
      </c>
      <c r="F94" s="27">
        <f>'111 LS CS1'!F94</f>
        <v>0</v>
      </c>
      <c r="G94" s="97">
        <f t="shared" si="8"/>
        <v>0</v>
      </c>
      <c r="H94" s="27">
        <f>'111 LS CS1'!H94</f>
        <v>0</v>
      </c>
      <c r="I94" s="63">
        <f t="shared" si="9"/>
        <v>0</v>
      </c>
      <c r="J94" s="63" t="str">
        <f t="shared" si="7"/>
        <v/>
      </c>
      <c r="K94" s="25">
        <f>'111 LS CS1'!K94</f>
        <v>0</v>
      </c>
      <c r="L94" s="67">
        <f t="shared" si="11"/>
        <v>0</v>
      </c>
      <c r="M94" s="22"/>
      <c r="N94" s="22"/>
      <c r="O94" s="22"/>
    </row>
    <row r="95" spans="2:15" ht="15" customHeight="1">
      <c r="B95" s="32"/>
      <c r="C95" s="22"/>
      <c r="D95" s="22">
        <v>22</v>
      </c>
      <c r="E95" s="99" t="str">
        <f>'111 LS CS1'!E95</f>
        <v>‐</v>
      </c>
      <c r="F95" s="27">
        <f>'111 LS CS1'!F95</f>
        <v>0</v>
      </c>
      <c r="G95" s="97">
        <f t="shared" si="8"/>
        <v>0</v>
      </c>
      <c r="H95" s="27">
        <f>'111 LS CS1'!H95</f>
        <v>0</v>
      </c>
      <c r="I95" s="63">
        <f t="shared" si="9"/>
        <v>0</v>
      </c>
      <c r="J95" s="63" t="str">
        <f t="shared" si="7"/>
        <v/>
      </c>
      <c r="K95" s="25">
        <f>'111 LS CS1'!K95</f>
        <v>0</v>
      </c>
      <c r="L95" s="67">
        <f t="shared" si="11"/>
        <v>0</v>
      </c>
      <c r="M95" s="22"/>
      <c r="N95" s="22"/>
      <c r="O95" s="22"/>
    </row>
    <row r="96" spans="2:15" ht="15" customHeight="1">
      <c r="B96" s="32"/>
      <c r="C96" s="22"/>
      <c r="D96" s="22">
        <v>23</v>
      </c>
      <c r="E96" s="99" t="str">
        <f>'111 LS CS1'!E96</f>
        <v>‐</v>
      </c>
      <c r="F96" s="27">
        <f>'111 LS CS1'!F96</f>
        <v>0</v>
      </c>
      <c r="G96" s="97">
        <f t="shared" si="8"/>
        <v>0</v>
      </c>
      <c r="H96" s="27">
        <f>'111 LS CS1'!H96</f>
        <v>0</v>
      </c>
      <c r="I96" s="63">
        <f t="shared" si="9"/>
        <v>0</v>
      </c>
      <c r="J96" s="63" t="str">
        <f t="shared" si="7"/>
        <v/>
      </c>
      <c r="K96" s="25">
        <f>'111 LS CS1'!K96</f>
        <v>0</v>
      </c>
      <c r="L96" s="67">
        <f t="shared" si="11"/>
        <v>0</v>
      </c>
      <c r="M96" s="22"/>
      <c r="N96" s="22"/>
      <c r="O96" s="22"/>
    </row>
    <row r="97" spans="1:15" ht="15" customHeight="1">
      <c r="B97" s="32"/>
      <c r="C97" s="22"/>
      <c r="D97" s="22">
        <v>24</v>
      </c>
      <c r="E97" s="99" t="str">
        <f>'111 LS CS1'!E97</f>
        <v>‐</v>
      </c>
      <c r="F97" s="27">
        <f>'111 LS CS1'!F97</f>
        <v>0</v>
      </c>
      <c r="G97" s="97">
        <f t="shared" si="8"/>
        <v>0</v>
      </c>
      <c r="H97" s="27">
        <f>'111 LS CS1'!H97</f>
        <v>0</v>
      </c>
      <c r="I97" s="63">
        <f t="shared" si="9"/>
        <v>0</v>
      </c>
      <c r="J97" s="63" t="str">
        <f t="shared" si="7"/>
        <v/>
      </c>
      <c r="K97" s="25">
        <f>'111 LS CS1'!K97</f>
        <v>0</v>
      </c>
      <c r="L97" s="67">
        <f t="shared" si="11"/>
        <v>0</v>
      </c>
      <c r="M97" s="22"/>
      <c r="N97" s="22"/>
      <c r="O97" s="22"/>
    </row>
    <row r="98" spans="1:15" ht="15" customHeight="1">
      <c r="B98" s="32"/>
      <c r="C98" s="22"/>
      <c r="D98" s="22">
        <v>25</v>
      </c>
      <c r="E98" s="100" t="s">
        <v>164</v>
      </c>
      <c r="F98" s="27">
        <f>'111 LS CS1'!F98</f>
        <v>0</v>
      </c>
      <c r="G98" s="97">
        <f t="shared" si="8"/>
        <v>0</v>
      </c>
      <c r="H98" s="27">
        <f>'111 LS CS1'!H98</f>
        <v>0</v>
      </c>
      <c r="I98" s="63">
        <f t="shared" si="9"/>
        <v>0</v>
      </c>
      <c r="J98" s="63" t="str">
        <f t="shared" si="7"/>
        <v/>
      </c>
      <c r="K98" s="25">
        <f>'111 LS CS1'!K98</f>
        <v>0</v>
      </c>
      <c r="L98" s="67">
        <f t="shared" si="11"/>
        <v>0</v>
      </c>
      <c r="M98" s="22"/>
      <c r="N98" s="22"/>
      <c r="O98" s="22"/>
    </row>
    <row r="99" spans="1:15" ht="15" customHeight="1">
      <c r="B99" s="74"/>
      <c r="C99" s="22"/>
      <c r="D99" s="21"/>
      <c r="E99" s="21"/>
      <c r="F99" s="104">
        <f>SUM(F74:F98)</f>
        <v>1</v>
      </c>
      <c r="G99" s="97">
        <f>SUM(G74:G98)</f>
        <v>29492</v>
      </c>
      <c r="H99" s="107">
        <f>IFERROR(I99/L99,0)</f>
        <v>0.12449664315746643</v>
      </c>
      <c r="I99" s="106">
        <f>SUM(I74:I98)</f>
        <v>36716550</v>
      </c>
      <c r="J99" s="105">
        <f>C8</f>
        <v>10000</v>
      </c>
      <c r="K99" s="22"/>
      <c r="L99" s="26">
        <f>SUM(L74:L98)</f>
        <v>294920000</v>
      </c>
      <c r="M99" s="28"/>
      <c r="N99" s="28"/>
      <c r="O99" s="22"/>
    </row>
    <row r="100" spans="1:15" ht="15" customHeight="1">
      <c r="A100"/>
      <c r="B100"/>
      <c r="C100"/>
      <c r="D100"/>
      <c r="E100"/>
      <c r="F100"/>
      <c r="G100"/>
      <c r="H100"/>
      <c r="I100"/>
      <c r="J100"/>
      <c r="K100"/>
      <c r="L100"/>
      <c r="M100"/>
      <c r="N100"/>
      <c r="O100"/>
    </row>
    <row r="101" spans="1:15" ht="15" customHeight="1">
      <c r="D101" s="7" t="s">
        <v>146</v>
      </c>
    </row>
    <row r="102" spans="1:15" ht="15" customHeight="1">
      <c r="D102" s="7" t="s">
        <v>147</v>
      </c>
    </row>
  </sheetData>
  <mergeCells count="7">
    <mergeCell ref="K36:M36"/>
    <mergeCell ref="C4:G4"/>
    <mergeCell ref="K31:M31"/>
    <mergeCell ref="K32:M32"/>
    <mergeCell ref="K33:M33"/>
    <mergeCell ref="K34:M34"/>
    <mergeCell ref="K35:M35"/>
  </mergeCells>
  <phoneticPr fontId="3"/>
  <conditionalFormatting sqref="D16:D19 D21:D27">
    <cfRule type="dataBar" priority="4">
      <dataBar>
        <cfvo type="min"/>
        <cfvo type="max"/>
        <color rgb="FF638EC6"/>
      </dataBar>
      <extLst>
        <ext xmlns:x14="http://schemas.microsoft.com/office/spreadsheetml/2009/9/main" uri="{B025F937-C7B1-47D3-B67F-A62EFF666E3E}">
          <x14:id>{CD82887C-A236-4498-8746-56DD13AEE2D4}</x14:id>
        </ext>
      </extLst>
    </cfRule>
  </conditionalFormatting>
  <conditionalFormatting sqref="F99">
    <cfRule type="cellIs" dxfId="7" priority="3" operator="notEqual">
      <formula>1</formula>
    </cfRule>
  </conditionalFormatting>
  <conditionalFormatting sqref="G74:G98">
    <cfRule type="dataBar" priority="2">
      <dataBar>
        <cfvo type="min"/>
        <cfvo type="max"/>
        <color rgb="FF63C384"/>
      </dataBar>
      <extLst>
        <ext xmlns:x14="http://schemas.microsoft.com/office/spreadsheetml/2009/9/main" uri="{B025F937-C7B1-47D3-B67F-A62EFF666E3E}">
          <x14:id>{D0D3DEFA-F8E6-4930-AC9C-0B84581CDCC4}</x14:id>
        </ext>
      </extLst>
    </cfRule>
  </conditionalFormatting>
  <conditionalFormatting sqref="J74:J98">
    <cfRule type="dataBar" priority="5">
      <dataBar>
        <cfvo type="min"/>
        <cfvo type="max"/>
        <color rgb="FFFF555A"/>
      </dataBar>
      <extLst>
        <ext xmlns:x14="http://schemas.microsoft.com/office/spreadsheetml/2009/9/main" uri="{B025F937-C7B1-47D3-B67F-A62EFF666E3E}">
          <x14:id>{83117A23-CFC4-4839-B91A-167C3763F49B}</x14:id>
        </ext>
      </extLst>
    </cfRule>
  </conditionalFormatting>
  <conditionalFormatting sqref="J88">
    <cfRule type="containsText" dxfId="6" priority="1" operator="containsText" text="Error">
      <formula>NOT(ISERROR(SEARCH("Error",J88)))</formula>
    </cfRule>
  </conditionalFormatting>
  <dataValidations count="3">
    <dataValidation type="list" allowBlank="1" showInputMessage="1" showErrorMessage="1" sqref="F70" xr:uid="{0E77A4EF-5F80-4216-85C3-6891BF7AB996}">
      <formula1>"1,2"</formula1>
    </dataValidation>
    <dataValidation type="list" allowBlank="1" showInputMessage="1" showErrorMessage="1" sqref="F42 F58 F64" xr:uid="{927A988F-44BC-422B-BFAA-A15F6921B267}">
      <formula1>"1,2,3"</formula1>
    </dataValidation>
    <dataValidation imeMode="off" allowBlank="1" showInputMessage="1" showErrorMessage="1" sqref="G31:G33 G7 L7 C11 I34:I36 I26:I27 I47:I50 F44:F45 I52:I55 G52:G55 E7:E8 G47:G50 I62 K62 M62 G66:G68 I68 K68 M68 G19 I19 J21:J23 L23 K74:K98 F89:F98 F74:F87 H74:H98 J25 G26:G27 G60:G62" xr:uid="{BE9FCB16-6F77-4472-8EFA-93B7FC9BD570}"/>
  </dataValidations>
  <hyperlinks>
    <hyperlink ref="A1" location="index!A1" display="&lt;&lt;" xr:uid="{B65465FF-2098-4411-A7B1-40351F9DED73}"/>
  </hyperlinks>
  <pageMargins left="0.70866141732283472" right="0.70866141732283472" top="0.74803149606299213" bottom="0.74803149606299213" header="0.31496062992125984" footer="0.31496062992125984"/>
  <pageSetup paperSize="9" scale="98"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CD82887C-A236-4498-8746-56DD13AEE2D4}">
            <x14:dataBar minLength="0" maxLength="100" border="1" negativeBarBorderColorSameAsPositive="0">
              <x14:cfvo type="autoMin"/>
              <x14:cfvo type="autoMax"/>
              <x14:borderColor rgb="FF638EC6"/>
              <x14:negativeFillColor rgb="FFFF0000"/>
              <x14:negativeBorderColor rgb="FFFF0000"/>
              <x14:axisColor rgb="FF000000"/>
            </x14:dataBar>
          </x14:cfRule>
          <xm:sqref>D16:D19 D21:D27</xm:sqref>
        </x14:conditionalFormatting>
        <x14:conditionalFormatting xmlns:xm="http://schemas.microsoft.com/office/excel/2006/main">
          <x14:cfRule type="dataBar" id="{D0D3DEFA-F8E6-4930-AC9C-0B84581CDCC4}">
            <x14:dataBar minLength="0" maxLength="100" border="1" negativeBarBorderColorSameAsPositive="0">
              <x14:cfvo type="autoMin"/>
              <x14:cfvo type="autoMax"/>
              <x14:borderColor rgb="FF63C384"/>
              <x14:negativeFillColor rgb="FFFF0000"/>
              <x14:negativeBorderColor rgb="FFFF0000"/>
              <x14:axisColor rgb="FF000000"/>
            </x14:dataBar>
          </x14:cfRule>
          <xm:sqref>G74:G98</xm:sqref>
        </x14:conditionalFormatting>
        <x14:conditionalFormatting xmlns:xm="http://schemas.microsoft.com/office/excel/2006/main">
          <x14:cfRule type="dataBar" id="{83117A23-CFC4-4839-B91A-167C3763F49B}">
            <x14:dataBar minLength="0" maxLength="100" border="1" negativeBarBorderColorSameAsPositive="0">
              <x14:cfvo type="autoMin"/>
              <x14:cfvo type="autoMax"/>
              <x14:borderColor rgb="FFFF555A"/>
              <x14:negativeFillColor rgb="FFFF0000"/>
              <x14:negativeBorderColor rgb="FFFF0000"/>
              <x14:axisColor rgb="FF000000"/>
            </x14:dataBar>
          </x14:cfRule>
          <xm:sqref>J74:J98</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87A81-842B-417F-91D0-0E6E89A689E0}">
  <sheetPr>
    <tabColor rgb="FFFFFF00"/>
    <pageSetUpPr fitToPage="1"/>
  </sheetPr>
  <dimension ref="A1:O102"/>
  <sheetViews>
    <sheetView showGridLines="0" zoomScale="90" zoomScaleNormal="90" workbookViewId="0">
      <selection activeCell="C30" sqref="C30"/>
    </sheetView>
  </sheetViews>
  <sheetFormatPr defaultRowHeight="15" customHeight="1"/>
  <cols>
    <col min="1" max="1" width="3.69140625" style="2" customWidth="1"/>
    <col min="2" max="15" width="16.69140625" style="2" customWidth="1"/>
  </cols>
  <sheetData>
    <row r="1" spans="1:15" ht="19.149999999999999" thickBot="1">
      <c r="A1" s="4" t="s">
        <v>0</v>
      </c>
      <c r="B1" s="3" t="s">
        <v>171</v>
      </c>
      <c r="C1" s="3"/>
      <c r="D1" s="3"/>
      <c r="E1" s="3"/>
      <c r="F1" s="3"/>
      <c r="G1" s="3"/>
      <c r="H1" s="3"/>
      <c r="I1" s="3"/>
      <c r="J1" s="3"/>
      <c r="K1" s="3"/>
      <c r="L1" s="3"/>
      <c r="M1" s="3"/>
      <c r="N1" s="3"/>
      <c r="O1" s="115" t="str">
        <f>index!$C$7</f>
        <v>Sample Hotel</v>
      </c>
    </row>
    <row r="2" spans="1:15" ht="15" customHeight="1" thickTop="1"/>
    <row r="3" spans="1:15" ht="15" customHeight="1">
      <c r="A3" s="13" t="s">
        <v>139</v>
      </c>
      <c r="N3" s="82" t="s">
        <v>256</v>
      </c>
      <c r="O3" s="118">
        <f>DATE(index!$J$7,index!$L$7,index!$N$7)</f>
        <v>44635</v>
      </c>
    </row>
    <row r="4" spans="1:15" ht="15" customHeight="1">
      <c r="B4" s="82" t="s">
        <v>133</v>
      </c>
      <c r="C4" s="152" t="s">
        <v>263</v>
      </c>
      <c r="D4" s="152"/>
      <c r="E4" s="152"/>
      <c r="F4" s="152"/>
      <c r="G4" s="152"/>
    </row>
    <row r="6" spans="1:15" ht="15" customHeight="1">
      <c r="B6" s="22" t="s">
        <v>44</v>
      </c>
      <c r="C6" s="23">
        <f>'101 LS LY'!C6</f>
        <v>100</v>
      </c>
      <c r="D6" s="22" t="s">
        <v>45</v>
      </c>
      <c r="E6" s="22"/>
      <c r="F6" s="22"/>
      <c r="G6" s="22"/>
      <c r="H6" s="22"/>
      <c r="I6" s="22"/>
      <c r="J6" s="22"/>
      <c r="K6" s="22"/>
      <c r="L6" s="22"/>
      <c r="M6" s="22"/>
      <c r="N6" s="22"/>
      <c r="O6" s="22"/>
    </row>
    <row r="7" spans="1:15" ht="15" customHeight="1">
      <c r="B7" s="59" t="s">
        <v>122</v>
      </c>
      <c r="C7" s="48">
        <f>IF(E7&gt;0,E7,'101 LS LY'!C7)</f>
        <v>0.78900000000000003</v>
      </c>
      <c r="D7" s="31" t="s">
        <v>48</v>
      </c>
      <c r="E7" s="116">
        <v>0.78900000000000003</v>
      </c>
      <c r="F7" s="30" t="s">
        <v>46</v>
      </c>
      <c r="G7" s="29">
        <f>'111 LS CS1'!G7</f>
        <v>365</v>
      </c>
      <c r="H7" s="22"/>
      <c r="I7" s="30" t="s">
        <v>47</v>
      </c>
      <c r="J7" s="23">
        <f>IF(L7&gt;0,L7,ROUND(C6*G7*C7,0))</f>
        <v>28799</v>
      </c>
      <c r="K7" s="31" t="s">
        <v>48</v>
      </c>
      <c r="L7" s="24"/>
      <c r="M7" s="31" t="s">
        <v>49</v>
      </c>
      <c r="N7" s="22"/>
      <c r="O7" s="22"/>
    </row>
    <row r="8" spans="1:15" ht="15" customHeight="1">
      <c r="B8" s="59" t="s">
        <v>38</v>
      </c>
      <c r="C8" s="63">
        <f>IF(E8&gt;0,E8,'101 LS LY'!C8)</f>
        <v>10100</v>
      </c>
      <c r="D8" s="31" t="s">
        <v>48</v>
      </c>
      <c r="E8" s="24">
        <v>10100</v>
      </c>
      <c r="F8" s="22"/>
      <c r="G8" s="22"/>
      <c r="H8" s="22"/>
      <c r="I8" s="22"/>
      <c r="J8" s="22"/>
      <c r="K8" s="22"/>
      <c r="L8" s="22"/>
      <c r="M8" s="22"/>
      <c r="N8" s="22"/>
      <c r="O8" s="22"/>
    </row>
    <row r="9" spans="1:15" ht="15" customHeight="1">
      <c r="B9" s="22"/>
      <c r="C9" s="22"/>
      <c r="D9" s="22"/>
      <c r="E9" s="22"/>
      <c r="F9" s="22"/>
      <c r="G9" s="22"/>
      <c r="H9" s="22"/>
      <c r="I9" s="22"/>
      <c r="J9" s="22"/>
      <c r="K9" s="22"/>
      <c r="L9" s="22"/>
      <c r="M9" s="22"/>
      <c r="N9" s="22"/>
      <c r="O9" s="22"/>
    </row>
    <row r="10" spans="1:15" ht="15" customHeight="1">
      <c r="B10" s="22" t="s">
        <v>51</v>
      </c>
      <c r="C10" s="46">
        <f>C8*J7</f>
        <v>290869900</v>
      </c>
      <c r="D10" s="22"/>
      <c r="E10" s="22"/>
      <c r="F10" s="22"/>
      <c r="G10" s="22"/>
      <c r="H10" s="22"/>
      <c r="I10" s="22"/>
      <c r="J10" s="22"/>
      <c r="K10" s="22"/>
      <c r="L10" s="22"/>
      <c r="M10" s="22"/>
      <c r="N10" s="22"/>
      <c r="O10" s="22"/>
    </row>
    <row r="11" spans="1:15" ht="15" customHeight="1">
      <c r="B11" s="22" t="s">
        <v>52</v>
      </c>
      <c r="C11" s="47">
        <v>0</v>
      </c>
      <c r="D11" s="22"/>
      <c r="E11" s="22"/>
      <c r="F11" s="22"/>
      <c r="G11" s="22"/>
      <c r="H11" s="22"/>
      <c r="I11" s="22"/>
      <c r="J11" s="22"/>
      <c r="K11" s="22"/>
      <c r="L11" s="22"/>
      <c r="M11" s="22"/>
      <c r="N11" s="22"/>
      <c r="O11" s="22"/>
    </row>
    <row r="12" spans="1:15" ht="15" customHeight="1">
      <c r="B12" s="58" t="s">
        <v>121</v>
      </c>
      <c r="C12" s="55">
        <f>C10+C11</f>
        <v>290869900</v>
      </c>
      <c r="D12" s="57"/>
      <c r="E12" s="57"/>
      <c r="F12" s="57"/>
      <c r="G12" s="57"/>
      <c r="H12" s="57"/>
      <c r="I12" s="57"/>
      <c r="J12" s="57"/>
      <c r="K12" s="57"/>
      <c r="L12" s="57"/>
      <c r="M12" s="57"/>
      <c r="N12" s="57"/>
      <c r="O12" s="57"/>
    </row>
    <row r="14" spans="1:15" ht="15" customHeight="1">
      <c r="B14" s="22"/>
      <c r="C14" s="21" t="s">
        <v>91</v>
      </c>
      <c r="D14" s="21" t="s">
        <v>92</v>
      </c>
      <c r="E14" s="22"/>
      <c r="F14" s="22"/>
      <c r="G14" s="22"/>
      <c r="H14" s="22"/>
      <c r="I14" s="22"/>
      <c r="J14" s="22"/>
      <c r="K14" s="22"/>
      <c r="L14" s="22"/>
      <c r="M14" s="22"/>
      <c r="N14" s="22"/>
      <c r="O14" s="22"/>
    </row>
    <row r="15" spans="1:15" ht="15" customHeight="1">
      <c r="B15" s="21" t="s">
        <v>13</v>
      </c>
      <c r="C15" s="26">
        <f>SUM(C16:C19)</f>
        <v>36500000</v>
      </c>
      <c r="D15" s="48">
        <f>C15/$C$12</f>
        <v>0.125485655270621</v>
      </c>
      <c r="E15" s="22"/>
      <c r="F15" s="21" t="s">
        <v>94</v>
      </c>
      <c r="G15" s="22"/>
      <c r="H15" s="22"/>
      <c r="I15" s="22"/>
      <c r="J15" s="22"/>
      <c r="K15" s="22"/>
      <c r="L15" s="22"/>
      <c r="M15" s="22"/>
      <c r="N15" s="80" t="s">
        <v>126</v>
      </c>
      <c r="O15" s="22"/>
    </row>
    <row r="16" spans="1:15" ht="15" customHeight="1">
      <c r="B16" s="49" t="s">
        <v>88</v>
      </c>
      <c r="C16" s="50">
        <f>G42</f>
        <v>20000000</v>
      </c>
      <c r="D16" s="51">
        <f t="shared" ref="D16:D27" si="0">C16/$C$12</f>
        <v>6.8759263161984108E-2</v>
      </c>
      <c r="E16" s="22"/>
      <c r="F16" s="21" t="s">
        <v>95</v>
      </c>
      <c r="G16" s="22"/>
      <c r="H16" s="22"/>
      <c r="I16" s="22"/>
      <c r="J16" s="22"/>
      <c r="K16" s="22"/>
      <c r="L16" s="22"/>
      <c r="M16" s="22"/>
      <c r="N16" s="80" t="s">
        <v>126</v>
      </c>
      <c r="O16" s="22"/>
    </row>
    <row r="17" spans="2:15" ht="15" customHeight="1">
      <c r="B17" s="49" t="s">
        <v>89</v>
      </c>
      <c r="C17" s="50">
        <f>G58</f>
        <v>3500000</v>
      </c>
      <c r="D17" s="51">
        <f t="shared" si="0"/>
        <v>1.2032871053347218E-2</v>
      </c>
      <c r="E17" s="22"/>
      <c r="F17" s="22"/>
      <c r="G17" s="22"/>
      <c r="H17" s="22"/>
      <c r="I17" s="22"/>
      <c r="J17" s="22"/>
      <c r="K17" s="22"/>
      <c r="L17" s="22"/>
      <c r="M17" s="22"/>
      <c r="N17" s="80" t="s">
        <v>126</v>
      </c>
      <c r="O17" s="79" t="s">
        <v>127</v>
      </c>
    </row>
    <row r="18" spans="2:15" ht="15" customHeight="1">
      <c r="B18" s="49" t="s">
        <v>90</v>
      </c>
      <c r="C18" s="50">
        <f>G64</f>
        <v>10000000</v>
      </c>
      <c r="D18" s="51">
        <f t="shared" si="0"/>
        <v>3.4379631580992054E-2</v>
      </c>
      <c r="E18" s="22"/>
      <c r="F18" s="22"/>
      <c r="G18" s="22"/>
      <c r="H18" s="22"/>
      <c r="I18" s="22"/>
      <c r="J18" s="22"/>
      <c r="K18" s="22"/>
      <c r="L18" s="22"/>
      <c r="M18" s="22"/>
      <c r="N18" s="80" t="s">
        <v>126</v>
      </c>
      <c r="O18" s="22"/>
    </row>
    <row r="19" spans="2:15" ht="15" customHeight="1">
      <c r="B19" s="49" t="s">
        <v>96</v>
      </c>
      <c r="C19" s="50">
        <f>IF(I19&gt;0,I19,ROUND(C16*G19,0))</f>
        <v>3000000</v>
      </c>
      <c r="D19" s="51">
        <f t="shared" si="0"/>
        <v>1.0313889474297615E-2</v>
      </c>
      <c r="E19" s="22"/>
      <c r="F19" s="28" t="s">
        <v>106</v>
      </c>
      <c r="G19" s="27">
        <f>'111 LS CS1'!G19</f>
        <v>0.15</v>
      </c>
      <c r="H19" s="28" t="s">
        <v>97</v>
      </c>
      <c r="I19" s="25">
        <f>'111 LS CS1'!I19</f>
        <v>0</v>
      </c>
      <c r="J19" s="22"/>
      <c r="K19" s="22"/>
      <c r="L19" s="22"/>
      <c r="M19" s="22"/>
      <c r="N19" s="80" t="s">
        <v>126</v>
      </c>
      <c r="O19" s="22"/>
    </row>
    <row r="20" spans="2:15" ht="15" customHeight="1">
      <c r="B20" s="21" t="s">
        <v>93</v>
      </c>
      <c r="C20" s="26">
        <f>SUM(C21:C27)</f>
        <v>108341838</v>
      </c>
      <c r="D20" s="48">
        <f>C20/$C$12</f>
        <v>0.37247524752475247</v>
      </c>
      <c r="E20" s="22"/>
      <c r="F20" s="22"/>
      <c r="G20" s="22"/>
      <c r="H20" s="22"/>
      <c r="I20" s="22"/>
      <c r="J20" s="22"/>
      <c r="K20" s="22"/>
      <c r="L20" s="22"/>
      <c r="M20" s="22"/>
      <c r="N20" s="22"/>
      <c r="O20" s="22"/>
    </row>
    <row r="21" spans="2:15" ht="15" customHeight="1">
      <c r="B21" s="83" t="s">
        <v>99</v>
      </c>
      <c r="C21" s="84">
        <f>$J$7*IF(J21&gt;0,J21,G21)</f>
        <v>12815555</v>
      </c>
      <c r="D21" s="85">
        <f t="shared" si="0"/>
        <v>4.4059405940594057E-2</v>
      </c>
      <c r="E21" s="86"/>
      <c r="F21" s="90" t="s">
        <v>124</v>
      </c>
      <c r="G21" s="91">
        <f>'101 LS LY'!L21</f>
        <v>445</v>
      </c>
      <c r="H21" s="86" t="s">
        <v>134</v>
      </c>
      <c r="I21" s="92" t="s">
        <v>135</v>
      </c>
      <c r="J21" s="25">
        <f>'111 LS CS1'!J21</f>
        <v>0</v>
      </c>
      <c r="K21" s="86"/>
      <c r="L21" s="86"/>
      <c r="M21" s="86"/>
      <c r="N21" s="79" t="s">
        <v>128</v>
      </c>
      <c r="O21" s="86"/>
    </row>
    <row r="22" spans="2:15" ht="15" customHeight="1">
      <c r="B22" s="83" t="s">
        <v>100</v>
      </c>
      <c r="C22" s="84">
        <f t="shared" ref="C22" si="1">$J$7*IF(J22&gt;0,J22,G22)</f>
        <v>16761018</v>
      </c>
      <c r="D22" s="85">
        <f t="shared" si="0"/>
        <v>5.7623762376237626E-2</v>
      </c>
      <c r="E22" s="86"/>
      <c r="F22" s="90" t="s">
        <v>124</v>
      </c>
      <c r="G22" s="91">
        <f>'101 LS LY'!L22</f>
        <v>582</v>
      </c>
      <c r="H22" s="86" t="s">
        <v>134</v>
      </c>
      <c r="I22" s="93" t="s">
        <v>135</v>
      </c>
      <c r="J22" s="25">
        <f>'111 LS CS1'!J22</f>
        <v>0</v>
      </c>
      <c r="K22" s="86"/>
      <c r="L22" s="86"/>
      <c r="M22" s="86"/>
      <c r="N22" s="79" t="s">
        <v>128</v>
      </c>
      <c r="O22" s="86"/>
    </row>
    <row r="23" spans="2:15" ht="15" customHeight="1">
      <c r="B23" s="83" t="s">
        <v>101</v>
      </c>
      <c r="C23" s="84">
        <f>MAX($J$7,M23)*IF(J23&gt;0,J23,G23)</f>
        <v>23672778</v>
      </c>
      <c r="D23" s="85">
        <f t="shared" si="0"/>
        <v>8.1386138613861389E-2</v>
      </c>
      <c r="E23" s="86"/>
      <c r="F23" s="90" t="s">
        <v>124</v>
      </c>
      <c r="G23" s="91">
        <f>'101 LS LY'!L23</f>
        <v>822</v>
      </c>
      <c r="H23" s="86" t="s">
        <v>134</v>
      </c>
      <c r="I23" s="93" t="s">
        <v>135</v>
      </c>
      <c r="J23" s="25">
        <f>'111 LS CS1'!J23</f>
        <v>0</v>
      </c>
      <c r="K23" s="87" t="s">
        <v>143</v>
      </c>
      <c r="L23" s="27">
        <f>'111 LS CS1'!L23</f>
        <v>0.4</v>
      </c>
      <c r="M23" s="95">
        <f>C6*G7*L23</f>
        <v>14600</v>
      </c>
      <c r="N23" s="79" t="s">
        <v>128</v>
      </c>
      <c r="O23" s="86"/>
    </row>
    <row r="24" spans="2:15" ht="15" customHeight="1">
      <c r="B24" s="83" t="s">
        <v>102</v>
      </c>
      <c r="C24" s="84">
        <f>G70</f>
        <v>31995689</v>
      </c>
      <c r="D24" s="85">
        <f t="shared" si="0"/>
        <v>0.11</v>
      </c>
      <c r="E24" s="86"/>
      <c r="F24" s="90" t="s">
        <v>124</v>
      </c>
      <c r="G24" s="91">
        <f>'101 LS LY'!L24</f>
        <v>1100</v>
      </c>
      <c r="H24" s="86" t="s">
        <v>134</v>
      </c>
      <c r="I24" s="94" t="s">
        <v>136</v>
      </c>
      <c r="J24" s="94"/>
      <c r="K24" s="86"/>
      <c r="L24" s="86"/>
      <c r="M24" s="86"/>
      <c r="N24" s="78" t="s">
        <v>129</v>
      </c>
      <c r="O24" s="86"/>
    </row>
    <row r="25" spans="2:15" ht="15" customHeight="1">
      <c r="B25" s="49" t="s">
        <v>103</v>
      </c>
      <c r="C25" s="50">
        <f>$J$7*IF(J25&gt;0,J25,G25)</f>
        <v>17279400</v>
      </c>
      <c r="D25" s="51">
        <f t="shared" si="0"/>
        <v>5.9405940594059403E-2</v>
      </c>
      <c r="E25" s="22"/>
      <c r="F25" s="22"/>
      <c r="G25" s="63">
        <f>'101 LS LY'!L25</f>
        <v>600</v>
      </c>
      <c r="H25" s="22" t="s">
        <v>134</v>
      </c>
      <c r="I25" s="92" t="s">
        <v>135</v>
      </c>
      <c r="J25" s="25">
        <f>'111 LS CS1'!J25</f>
        <v>0</v>
      </c>
      <c r="K25" s="22"/>
      <c r="L25" s="22"/>
      <c r="M25" s="22"/>
      <c r="N25" s="79" t="s">
        <v>128</v>
      </c>
      <c r="O25" s="22"/>
    </row>
    <row r="26" spans="2:15" ht="15" customHeight="1">
      <c r="B26" s="49" t="s">
        <v>104</v>
      </c>
      <c r="C26" s="50">
        <f>IF(I26&gt;0,I26,ROUND($C$12*G26,0))</f>
        <v>2908699</v>
      </c>
      <c r="D26" s="51">
        <f t="shared" si="0"/>
        <v>0.01</v>
      </c>
      <c r="E26" s="22"/>
      <c r="F26" s="114" t="s">
        <v>107</v>
      </c>
      <c r="G26" s="27">
        <f>'111 LS CS1'!G26</f>
        <v>0.01</v>
      </c>
      <c r="H26" s="114" t="s">
        <v>97</v>
      </c>
      <c r="I26" s="25">
        <f>'111 LS CS1'!I26</f>
        <v>0</v>
      </c>
      <c r="J26" s="22"/>
      <c r="K26" s="22"/>
      <c r="L26" s="22"/>
      <c r="M26" s="22"/>
      <c r="N26" s="78" t="s">
        <v>129</v>
      </c>
      <c r="O26" s="22"/>
    </row>
    <row r="27" spans="2:15" ht="15" customHeight="1">
      <c r="B27" s="49" t="s">
        <v>105</v>
      </c>
      <c r="C27" s="50">
        <f t="shared" ref="C27" si="2">IF(I27&gt;0,I27,ROUND($C$12*G27,0))</f>
        <v>2908699</v>
      </c>
      <c r="D27" s="51">
        <f t="shared" si="0"/>
        <v>0.01</v>
      </c>
      <c r="E27" s="22"/>
      <c r="F27" s="53" t="s">
        <v>107</v>
      </c>
      <c r="G27" s="27">
        <f>'111 LS CS1'!G27</f>
        <v>0.01</v>
      </c>
      <c r="H27" s="53" t="s">
        <v>97</v>
      </c>
      <c r="I27" s="25">
        <f>'111 LS CS1'!I27</f>
        <v>0</v>
      </c>
      <c r="J27" s="22"/>
      <c r="K27" s="22"/>
      <c r="L27" s="22"/>
      <c r="M27" s="22"/>
      <c r="N27" s="78" t="s">
        <v>129</v>
      </c>
      <c r="O27" s="22"/>
    </row>
    <row r="28" spans="2:15" ht="15" customHeight="1">
      <c r="B28" s="22"/>
      <c r="C28" s="22"/>
      <c r="D28" s="22"/>
      <c r="E28" s="22"/>
      <c r="F28" s="22"/>
      <c r="G28" s="22"/>
      <c r="H28" s="22"/>
      <c r="I28" s="22"/>
      <c r="J28" s="22"/>
      <c r="K28" s="22"/>
      <c r="L28" s="22"/>
      <c r="M28" s="22"/>
      <c r="N28" s="22"/>
      <c r="O28" s="22"/>
    </row>
    <row r="29" spans="2:15" ht="15" customHeight="1">
      <c r="B29" s="54" t="s">
        <v>112</v>
      </c>
      <c r="C29" s="55">
        <f>C12-SUM(C15,C20)</f>
        <v>146028062</v>
      </c>
      <c r="D29" s="56">
        <f>C29/$C$12</f>
        <v>0.50203909720462658</v>
      </c>
      <c r="E29" s="57"/>
      <c r="F29" s="57"/>
      <c r="G29" s="57"/>
      <c r="H29" s="57"/>
      <c r="I29" s="57"/>
      <c r="J29" s="57"/>
      <c r="K29" s="57"/>
      <c r="L29" s="57"/>
      <c r="M29" s="57"/>
      <c r="N29" s="57"/>
      <c r="O29" s="57"/>
    </row>
    <row r="30" spans="2:15" ht="15" customHeight="1">
      <c r="C30" s="12">
        <f>C29-Summary!C28</f>
        <v>8062</v>
      </c>
    </row>
    <row r="31" spans="2:15" ht="15" customHeight="1">
      <c r="B31" s="21" t="s">
        <v>113</v>
      </c>
      <c r="C31" s="26">
        <f>$C$12*G31</f>
        <v>0</v>
      </c>
      <c r="D31" s="48">
        <f>C31/$C$12</f>
        <v>0</v>
      </c>
      <c r="E31" s="22"/>
      <c r="F31" s="28" t="s">
        <v>107</v>
      </c>
      <c r="G31" s="27">
        <f>'111 LS CS1'!G31</f>
        <v>0</v>
      </c>
      <c r="H31" s="22"/>
      <c r="I31" s="22"/>
      <c r="J31" s="28" t="s">
        <v>130</v>
      </c>
      <c r="K31" s="153" t="str">
        <f>'111 LS CS1'!K31</f>
        <v>-</v>
      </c>
      <c r="L31" s="153"/>
      <c r="M31" s="153"/>
      <c r="N31" s="78" t="s">
        <v>129</v>
      </c>
      <c r="O31" s="22"/>
    </row>
    <row r="32" spans="2:15" ht="15" customHeight="1">
      <c r="B32" s="21" t="s">
        <v>114</v>
      </c>
      <c r="C32" s="26">
        <f t="shared" ref="C32:C33" si="3">$C$12*G32</f>
        <v>0</v>
      </c>
      <c r="D32" s="48">
        <f t="shared" ref="D32:D36" si="4">C32/$C$12</f>
        <v>0</v>
      </c>
      <c r="E32" s="22"/>
      <c r="F32" s="52" t="s">
        <v>107</v>
      </c>
      <c r="G32" s="27">
        <f>'111 LS CS1'!G32</f>
        <v>0</v>
      </c>
      <c r="H32" s="22"/>
      <c r="I32" s="22"/>
      <c r="J32" s="52" t="s">
        <v>131</v>
      </c>
      <c r="K32" s="153" t="str">
        <f>'111 LS CS1'!K32</f>
        <v>-</v>
      </c>
      <c r="L32" s="153"/>
      <c r="M32" s="153"/>
      <c r="N32" s="78" t="s">
        <v>129</v>
      </c>
      <c r="O32" s="22"/>
    </row>
    <row r="33" spans="2:15" ht="15" customHeight="1">
      <c r="B33" s="21" t="s">
        <v>115</v>
      </c>
      <c r="C33" s="26">
        <f t="shared" si="3"/>
        <v>0</v>
      </c>
      <c r="D33" s="48">
        <f t="shared" si="4"/>
        <v>0</v>
      </c>
      <c r="E33" s="22"/>
      <c r="F33" s="53" t="s">
        <v>107</v>
      </c>
      <c r="G33" s="27">
        <f>'111 LS CS1'!G33</f>
        <v>0</v>
      </c>
      <c r="H33" s="22"/>
      <c r="I33" s="22"/>
      <c r="J33" s="52" t="s">
        <v>131</v>
      </c>
      <c r="K33" s="153" t="str">
        <f>'111 LS CS1'!K33</f>
        <v>-</v>
      </c>
      <c r="L33" s="153"/>
      <c r="M33" s="153"/>
      <c r="N33" s="78" t="s">
        <v>129</v>
      </c>
      <c r="O33" s="22"/>
    </row>
    <row r="34" spans="2:15" ht="15" customHeight="1">
      <c r="B34" s="21" t="s">
        <v>116</v>
      </c>
      <c r="C34" s="26">
        <f>I34</f>
        <v>0</v>
      </c>
      <c r="D34" s="48">
        <f t="shared" si="4"/>
        <v>0</v>
      </c>
      <c r="E34" s="22"/>
      <c r="F34" s="22"/>
      <c r="G34" s="22"/>
      <c r="H34" s="28" t="s">
        <v>119</v>
      </c>
      <c r="I34" s="25">
        <f>'111 LS CS1'!I34</f>
        <v>0</v>
      </c>
      <c r="J34" s="52" t="s">
        <v>131</v>
      </c>
      <c r="K34" s="153" t="str">
        <f>'111 LS CS1'!K34</f>
        <v>-</v>
      </c>
      <c r="L34" s="153"/>
      <c r="M34" s="153"/>
      <c r="N34" s="80" t="s">
        <v>126</v>
      </c>
      <c r="O34" s="22"/>
    </row>
    <row r="35" spans="2:15" ht="15" customHeight="1">
      <c r="B35" s="21" t="s">
        <v>117</v>
      </c>
      <c r="C35" s="26">
        <f t="shared" ref="C35:C36" si="5">I35</f>
        <v>0</v>
      </c>
      <c r="D35" s="48">
        <f t="shared" si="4"/>
        <v>0</v>
      </c>
      <c r="E35" s="22"/>
      <c r="F35" s="22"/>
      <c r="G35" s="22"/>
      <c r="H35" s="52" t="s">
        <v>119</v>
      </c>
      <c r="I35" s="25">
        <f>'111 LS CS1'!I35</f>
        <v>0</v>
      </c>
      <c r="J35" s="52" t="s">
        <v>131</v>
      </c>
      <c r="K35" s="153" t="str">
        <f>'111 LS CS1'!K35</f>
        <v>-</v>
      </c>
      <c r="L35" s="153"/>
      <c r="M35" s="153"/>
      <c r="N35" s="80" t="s">
        <v>126</v>
      </c>
      <c r="O35" s="22"/>
    </row>
    <row r="36" spans="2:15" ht="15" customHeight="1">
      <c r="B36" s="21" t="s">
        <v>118</v>
      </c>
      <c r="C36" s="26">
        <f t="shared" si="5"/>
        <v>0</v>
      </c>
      <c r="D36" s="48">
        <f t="shared" si="4"/>
        <v>0</v>
      </c>
      <c r="E36" s="22"/>
      <c r="F36" s="22"/>
      <c r="G36" s="22"/>
      <c r="H36" s="53" t="s">
        <v>119</v>
      </c>
      <c r="I36" s="25">
        <f>'111 LS CS1'!I36</f>
        <v>0</v>
      </c>
      <c r="J36" s="52" t="s">
        <v>131</v>
      </c>
      <c r="K36" s="153" t="str">
        <f>'111 LS CS1'!K36</f>
        <v>-</v>
      </c>
      <c r="L36" s="153"/>
      <c r="M36" s="153"/>
      <c r="N36" s="80" t="s">
        <v>126</v>
      </c>
      <c r="O36" s="22"/>
    </row>
    <row r="38" spans="2:15" ht="15" customHeight="1">
      <c r="B38" s="54" t="s">
        <v>120</v>
      </c>
      <c r="C38" s="55">
        <f>C29-SUM(C31:C36)</f>
        <v>146028062</v>
      </c>
      <c r="D38" s="56">
        <f>C38/$C$12</f>
        <v>0.50203909720462658</v>
      </c>
      <c r="E38" s="57"/>
      <c r="F38" s="57"/>
      <c r="G38" s="57"/>
      <c r="H38" s="57"/>
      <c r="I38" s="57"/>
      <c r="J38" s="57"/>
      <c r="K38" s="57"/>
      <c r="L38" s="57"/>
      <c r="M38" s="57"/>
      <c r="N38" s="57"/>
      <c r="O38" s="57"/>
    </row>
    <row r="42" spans="2:15" ht="15" customHeight="1">
      <c r="B42" s="73" t="s">
        <v>78</v>
      </c>
      <c r="C42" s="21" t="s">
        <v>80</v>
      </c>
      <c r="D42" s="22"/>
      <c r="E42" s="22"/>
      <c r="F42" s="62">
        <f>'111 LS CS1'!F42</f>
        <v>1</v>
      </c>
      <c r="G42" s="63">
        <f>VLOOKUP(F42,C44:J46,8,FALSE)</f>
        <v>20000000</v>
      </c>
      <c r="H42" s="22"/>
      <c r="I42" s="64" t="s">
        <v>98</v>
      </c>
      <c r="J42" s="22"/>
      <c r="K42" s="22"/>
      <c r="L42" s="22"/>
      <c r="M42" s="22"/>
      <c r="N42" s="22"/>
      <c r="O42" s="22"/>
    </row>
    <row r="43" spans="2:15" ht="15" customHeight="1">
      <c r="B43" s="32"/>
      <c r="C43" s="22"/>
      <c r="D43" s="22"/>
      <c r="E43" s="22"/>
      <c r="F43" s="22"/>
      <c r="G43" s="22"/>
      <c r="H43" s="22"/>
      <c r="I43" s="22"/>
      <c r="J43" s="22"/>
      <c r="K43" s="22"/>
      <c r="L43" s="22"/>
      <c r="M43" s="22"/>
      <c r="N43" s="22"/>
      <c r="O43" s="22"/>
    </row>
    <row r="44" spans="2:15" ht="15" customHeight="1">
      <c r="B44" s="32"/>
      <c r="C44" s="22">
        <v>1</v>
      </c>
      <c r="D44" s="22" t="s">
        <v>53</v>
      </c>
      <c r="E44" s="22"/>
      <c r="F44" s="25">
        <f>'111 LS CS1'!F44</f>
        <v>20000000</v>
      </c>
      <c r="G44" s="22"/>
      <c r="H44" s="22"/>
      <c r="I44" s="22"/>
      <c r="J44" s="65">
        <f>F44</f>
        <v>20000000</v>
      </c>
      <c r="K44" s="22"/>
      <c r="L44" s="22"/>
      <c r="M44" s="22"/>
      <c r="N44" s="22"/>
      <c r="O44" s="22"/>
    </row>
    <row r="45" spans="2:15" ht="15" customHeight="1">
      <c r="B45" s="32"/>
      <c r="C45" s="22">
        <v>2</v>
      </c>
      <c r="D45" s="22" t="s">
        <v>54</v>
      </c>
      <c r="E45" s="22"/>
      <c r="F45" s="27">
        <f>'111 LS CS1'!F45</f>
        <v>0.1</v>
      </c>
      <c r="G45" s="22"/>
      <c r="H45" s="22"/>
      <c r="I45" s="22"/>
      <c r="J45" s="65">
        <f>ROUND(F45*C12,0)</f>
        <v>29086990</v>
      </c>
      <c r="K45" s="22"/>
      <c r="L45" s="22"/>
      <c r="M45" s="22"/>
      <c r="N45" s="22"/>
      <c r="O45" s="22"/>
    </row>
    <row r="46" spans="2:15" ht="15" customHeight="1">
      <c r="B46" s="32"/>
      <c r="C46" s="22">
        <v>3</v>
      </c>
      <c r="D46" s="22" t="s">
        <v>55</v>
      </c>
      <c r="E46" s="22"/>
      <c r="F46" s="22"/>
      <c r="G46" s="22"/>
      <c r="H46" s="28" t="s">
        <v>40</v>
      </c>
      <c r="I46" s="66">
        <f>I51+I56/'101 LS LY'!N53</f>
        <v>10</v>
      </c>
      <c r="J46" s="67">
        <f>SUM(J47:J55)</f>
        <v>29970000</v>
      </c>
      <c r="K46" s="22"/>
      <c r="L46" s="22"/>
      <c r="M46" s="22"/>
      <c r="N46" s="22"/>
      <c r="O46" s="22"/>
    </row>
    <row r="47" spans="2:15" ht="15" customHeight="1">
      <c r="B47" s="32"/>
      <c r="C47" s="22"/>
      <c r="D47" s="22"/>
      <c r="E47" s="22" t="s">
        <v>57</v>
      </c>
      <c r="F47" s="30" t="s">
        <v>58</v>
      </c>
      <c r="G47" s="25">
        <f>'111 LS CS1'!G47</f>
        <v>0</v>
      </c>
      <c r="H47" s="30" t="s">
        <v>59</v>
      </c>
      <c r="I47" s="24">
        <f>'111 LS CS1'!I47</f>
        <v>1</v>
      </c>
      <c r="J47" s="68">
        <f>G47*I47</f>
        <v>0</v>
      </c>
      <c r="K47" s="22"/>
      <c r="L47" s="22"/>
      <c r="M47" s="22"/>
      <c r="N47" s="22"/>
      <c r="O47" s="22"/>
    </row>
    <row r="48" spans="2:15" ht="15" customHeight="1">
      <c r="B48" s="32"/>
      <c r="C48" s="22"/>
      <c r="D48" s="22"/>
      <c r="E48" s="22" t="s">
        <v>60</v>
      </c>
      <c r="F48" s="69" t="s">
        <v>109</v>
      </c>
      <c r="G48" s="25">
        <f>'111 LS CS1'!G48</f>
        <v>0</v>
      </c>
      <c r="H48" s="69" t="s">
        <v>108</v>
      </c>
      <c r="I48" s="24">
        <f>'111 LS CS1'!I48</f>
        <v>0</v>
      </c>
      <c r="J48" s="68">
        <f t="shared" ref="J48:J49" si="6">G48*I48</f>
        <v>0</v>
      </c>
      <c r="K48" s="22"/>
      <c r="L48" s="22"/>
      <c r="M48" s="22"/>
      <c r="N48" s="22"/>
      <c r="O48" s="22"/>
    </row>
    <row r="49" spans="2:15" ht="15" customHeight="1">
      <c r="B49" s="32"/>
      <c r="C49" s="22"/>
      <c r="D49" s="22"/>
      <c r="E49" s="22" t="s">
        <v>62</v>
      </c>
      <c r="F49" s="69" t="s">
        <v>109</v>
      </c>
      <c r="G49" s="25">
        <f>'111 LS CS1'!G49</f>
        <v>0</v>
      </c>
      <c r="H49" s="69" t="s">
        <v>108</v>
      </c>
      <c r="I49" s="24">
        <f>'111 LS CS1'!I49</f>
        <v>0</v>
      </c>
      <c r="J49" s="68">
        <f t="shared" si="6"/>
        <v>0</v>
      </c>
      <c r="K49" s="22"/>
      <c r="L49" s="22"/>
      <c r="M49" s="22"/>
      <c r="N49" s="22"/>
      <c r="O49" s="22"/>
    </row>
    <row r="50" spans="2:15" ht="15" customHeight="1">
      <c r="B50" s="32"/>
      <c r="C50" s="22"/>
      <c r="D50" s="22"/>
      <c r="E50" s="22" t="s">
        <v>63</v>
      </c>
      <c r="F50" s="69" t="s">
        <v>109</v>
      </c>
      <c r="G50" s="25">
        <f>'111 LS CS1'!G50</f>
        <v>3330000</v>
      </c>
      <c r="H50" s="69" t="s">
        <v>108</v>
      </c>
      <c r="I50" s="24">
        <f>'111 LS CS1'!I50</f>
        <v>9</v>
      </c>
      <c r="J50" s="68">
        <f>G50*I50</f>
        <v>29970000</v>
      </c>
      <c r="K50" s="22"/>
      <c r="L50" s="22"/>
      <c r="M50" s="22"/>
      <c r="N50" s="22"/>
      <c r="O50" s="22"/>
    </row>
    <row r="51" spans="2:15" ht="15" customHeight="1">
      <c r="B51" s="32"/>
      <c r="C51" s="22"/>
      <c r="D51" s="22"/>
      <c r="E51" s="22"/>
      <c r="F51" s="22"/>
      <c r="G51" s="70"/>
      <c r="H51" s="30" t="s">
        <v>64</v>
      </c>
      <c r="I51" s="71">
        <f>SUM(I47:I50)</f>
        <v>10</v>
      </c>
      <c r="J51" s="72" t="s">
        <v>76</v>
      </c>
      <c r="K51" s="22"/>
      <c r="L51" s="22"/>
      <c r="M51" s="22"/>
      <c r="N51" s="22"/>
      <c r="O51" s="22"/>
    </row>
    <row r="52" spans="2:15" ht="15" customHeight="1">
      <c r="B52" s="32"/>
      <c r="C52" s="22"/>
      <c r="D52" s="22"/>
      <c r="E52" s="22" t="s">
        <v>65</v>
      </c>
      <c r="F52" s="30" t="s">
        <v>66</v>
      </c>
      <c r="G52" s="25">
        <f>'111 LS CS1'!G52</f>
        <v>0</v>
      </c>
      <c r="H52" s="30" t="s">
        <v>67</v>
      </c>
      <c r="I52" s="24">
        <f>'111 LS CS1'!I52</f>
        <v>0</v>
      </c>
      <c r="J52" s="68">
        <f>G52*I52</f>
        <v>0</v>
      </c>
      <c r="K52" s="22"/>
      <c r="L52" s="22"/>
      <c r="M52" s="22"/>
      <c r="N52" s="22"/>
      <c r="O52" s="22"/>
    </row>
    <row r="53" spans="2:15" ht="15" customHeight="1">
      <c r="B53" s="32"/>
      <c r="C53" s="22"/>
      <c r="D53" s="22"/>
      <c r="E53" s="22" t="s">
        <v>68</v>
      </c>
      <c r="F53" s="69" t="s">
        <v>110</v>
      </c>
      <c r="G53" s="25">
        <f>'111 LS CS1'!G53</f>
        <v>0</v>
      </c>
      <c r="H53" s="69" t="s">
        <v>111</v>
      </c>
      <c r="I53" s="24">
        <f>'111 LS CS1'!I53</f>
        <v>0</v>
      </c>
      <c r="J53" s="68">
        <f>G53*I53</f>
        <v>0</v>
      </c>
      <c r="K53" s="22"/>
      <c r="L53" s="22"/>
      <c r="M53" s="22"/>
      <c r="N53" s="22"/>
      <c r="O53" s="22"/>
    </row>
    <row r="54" spans="2:15" ht="15" customHeight="1">
      <c r="B54" s="32"/>
      <c r="C54" s="22"/>
      <c r="D54" s="22"/>
      <c r="E54" s="22" t="s">
        <v>72</v>
      </c>
      <c r="F54" s="69" t="s">
        <v>110</v>
      </c>
      <c r="G54" s="25">
        <f>'111 LS CS1'!G54</f>
        <v>0</v>
      </c>
      <c r="H54" s="69" t="s">
        <v>111</v>
      </c>
      <c r="I54" s="24">
        <f>'111 LS CS1'!I54</f>
        <v>0</v>
      </c>
      <c r="J54" s="68">
        <f>G54*I54</f>
        <v>0</v>
      </c>
      <c r="K54" s="22"/>
      <c r="L54" s="22"/>
      <c r="M54" s="22"/>
      <c r="N54" s="22"/>
      <c r="O54" s="22"/>
    </row>
    <row r="55" spans="2:15" ht="15" customHeight="1">
      <c r="B55" s="32"/>
      <c r="C55" s="22"/>
      <c r="D55" s="22"/>
      <c r="E55" s="22" t="s">
        <v>73</v>
      </c>
      <c r="F55" s="69" t="s">
        <v>110</v>
      </c>
      <c r="G55" s="25">
        <f>'111 LS CS1'!G55</f>
        <v>0</v>
      </c>
      <c r="H55" s="69" t="s">
        <v>111</v>
      </c>
      <c r="I55" s="24">
        <f>'111 LS CS1'!I55</f>
        <v>0</v>
      </c>
      <c r="J55" s="68">
        <f>G55*I55</f>
        <v>0</v>
      </c>
      <c r="K55" s="22"/>
      <c r="L55" s="22"/>
      <c r="M55" s="22"/>
      <c r="N55" s="22"/>
      <c r="O55" s="22"/>
    </row>
    <row r="56" spans="2:15" ht="15" customHeight="1">
      <c r="B56" s="74"/>
      <c r="C56" s="22"/>
      <c r="D56" s="22"/>
      <c r="E56" s="22"/>
      <c r="F56" s="22"/>
      <c r="G56" s="22"/>
      <c r="H56" s="30" t="s">
        <v>64</v>
      </c>
      <c r="I56" s="71">
        <f>SUM(I52:I55)</f>
        <v>0</v>
      </c>
      <c r="J56" s="72" t="s">
        <v>77</v>
      </c>
      <c r="K56" s="22"/>
      <c r="L56" s="74"/>
      <c r="M56" s="74"/>
      <c r="N56" s="74"/>
      <c r="O56" s="74"/>
    </row>
    <row r="58" spans="2:15" ht="15" customHeight="1">
      <c r="B58" s="73" t="s">
        <v>79</v>
      </c>
      <c r="C58" s="21" t="s">
        <v>80</v>
      </c>
      <c r="D58" s="22"/>
      <c r="E58" s="22"/>
      <c r="F58" s="62">
        <f>'111 LS CS1'!F58</f>
        <v>1</v>
      </c>
      <c r="G58" s="63">
        <f>VLOOKUP(F58,C60:N62,12,FALSE)</f>
        <v>3500000</v>
      </c>
      <c r="H58" s="22"/>
      <c r="I58" s="64" t="s">
        <v>81</v>
      </c>
      <c r="J58" s="22"/>
      <c r="K58" s="22"/>
      <c r="L58" s="22"/>
      <c r="M58" s="22"/>
      <c r="N58" s="22"/>
      <c r="O58" s="22"/>
    </row>
    <row r="59" spans="2:15" ht="15" customHeight="1">
      <c r="B59" s="32"/>
      <c r="C59" s="22"/>
      <c r="D59" s="22"/>
      <c r="E59" s="22"/>
      <c r="F59" s="22"/>
      <c r="G59" s="22"/>
      <c r="H59" s="22"/>
      <c r="I59" s="22"/>
      <c r="J59" s="22"/>
      <c r="K59" s="22"/>
      <c r="L59" s="22"/>
      <c r="M59" s="22"/>
      <c r="N59" s="22"/>
      <c r="O59" s="22"/>
    </row>
    <row r="60" spans="2:15" ht="15" customHeight="1">
      <c r="B60" s="32"/>
      <c r="C60" s="22">
        <v>1</v>
      </c>
      <c r="D60" s="22" t="s">
        <v>53</v>
      </c>
      <c r="E60" s="22"/>
      <c r="F60" s="22"/>
      <c r="G60" s="25">
        <f>'111 LS CS1'!G60</f>
        <v>3500000</v>
      </c>
      <c r="H60" s="22"/>
      <c r="I60" s="22"/>
      <c r="J60" s="22"/>
      <c r="K60" s="22"/>
      <c r="L60" s="22"/>
      <c r="M60" s="22"/>
      <c r="N60" s="65">
        <f>G60</f>
        <v>3500000</v>
      </c>
      <c r="O60" s="22"/>
    </row>
    <row r="61" spans="2:15" ht="15" customHeight="1">
      <c r="B61" s="32"/>
      <c r="C61" s="22">
        <v>2</v>
      </c>
      <c r="D61" s="22" t="s">
        <v>54</v>
      </c>
      <c r="E61" s="22"/>
      <c r="F61" s="22"/>
      <c r="G61" s="27">
        <f>'111 LS CS1'!G61</f>
        <v>1.2E-2</v>
      </c>
      <c r="H61" s="22"/>
      <c r="I61" s="22"/>
      <c r="J61" s="22"/>
      <c r="K61" s="22"/>
      <c r="L61" s="22"/>
      <c r="M61" s="22"/>
      <c r="N61" s="65">
        <f>ROUND(G61*C12,0)</f>
        <v>3490439</v>
      </c>
      <c r="O61" s="22"/>
    </row>
    <row r="62" spans="2:15" ht="15" customHeight="1">
      <c r="B62" s="74"/>
      <c r="C62" s="22">
        <v>3</v>
      </c>
      <c r="D62" s="21" t="s">
        <v>82</v>
      </c>
      <c r="E62" s="22"/>
      <c r="F62" s="28" t="s">
        <v>83</v>
      </c>
      <c r="G62" s="25">
        <f>'111 LS CS1'!G62</f>
        <v>2500</v>
      </c>
      <c r="H62" s="28" t="s">
        <v>84</v>
      </c>
      <c r="I62" s="24">
        <f>'111 LS CS1'!I62</f>
        <v>1</v>
      </c>
      <c r="J62" s="28" t="s">
        <v>85</v>
      </c>
      <c r="K62" s="24">
        <f>'111 LS CS1'!K62</f>
        <v>150</v>
      </c>
      <c r="L62" s="28" t="s">
        <v>86</v>
      </c>
      <c r="M62" s="24">
        <f>'111 LS CS1'!M62</f>
        <v>12</v>
      </c>
      <c r="N62" s="65">
        <f>G62*I62*K62*M62</f>
        <v>4500000</v>
      </c>
      <c r="O62" s="22"/>
    </row>
    <row r="64" spans="2:15" ht="15" customHeight="1">
      <c r="B64" s="73" t="s">
        <v>87</v>
      </c>
      <c r="C64" s="21" t="s">
        <v>80</v>
      </c>
      <c r="D64" s="22"/>
      <c r="E64" s="22"/>
      <c r="F64" s="62">
        <f>'111 LS CS1'!F64</f>
        <v>1</v>
      </c>
      <c r="G64" s="63">
        <f>VLOOKUP(F64,C66:N68,12,FALSE)</f>
        <v>10000000</v>
      </c>
      <c r="H64" s="22"/>
      <c r="I64" s="64" t="s">
        <v>81</v>
      </c>
      <c r="J64" s="22"/>
      <c r="K64" s="22"/>
      <c r="L64" s="22"/>
      <c r="M64" s="22"/>
      <c r="N64" s="22"/>
      <c r="O64" s="22"/>
    </row>
    <row r="65" spans="2:15" ht="15" customHeight="1">
      <c r="B65" s="32"/>
      <c r="C65" s="22"/>
      <c r="D65" s="22"/>
      <c r="E65" s="22"/>
      <c r="F65" s="22"/>
      <c r="G65" s="22"/>
      <c r="H65" s="22"/>
      <c r="I65" s="22"/>
      <c r="J65" s="22"/>
      <c r="K65" s="22"/>
      <c r="L65" s="22"/>
      <c r="M65" s="22"/>
      <c r="N65" s="22"/>
      <c r="O65" s="22"/>
    </row>
    <row r="66" spans="2:15" ht="15" customHeight="1">
      <c r="B66" s="32"/>
      <c r="C66" s="22">
        <v>1</v>
      </c>
      <c r="D66" s="22" t="s">
        <v>53</v>
      </c>
      <c r="E66" s="22"/>
      <c r="F66" s="22"/>
      <c r="G66" s="25">
        <f>'111 LS CS1'!G66</f>
        <v>10000000</v>
      </c>
      <c r="H66" s="22"/>
      <c r="I66" s="22"/>
      <c r="J66" s="22"/>
      <c r="K66" s="22"/>
      <c r="L66" s="22"/>
      <c r="M66" s="22"/>
      <c r="N66" s="65">
        <f>G66</f>
        <v>10000000</v>
      </c>
      <c r="O66" s="22"/>
    </row>
    <row r="67" spans="2:15" ht="15" customHeight="1">
      <c r="B67" s="32"/>
      <c r="C67" s="22">
        <v>2</v>
      </c>
      <c r="D67" s="22" t="s">
        <v>54</v>
      </c>
      <c r="E67" s="22"/>
      <c r="F67" s="22"/>
      <c r="G67" s="27">
        <f>'111 LS CS1'!G67</f>
        <v>3.5000000000000003E-2</v>
      </c>
      <c r="H67" s="22"/>
      <c r="I67" s="22"/>
      <c r="J67" s="22"/>
      <c r="K67" s="22"/>
      <c r="L67" s="22"/>
      <c r="M67" s="22"/>
      <c r="N67" s="65">
        <f>ROUND(G67*C12,0)</f>
        <v>10180447</v>
      </c>
      <c r="O67" s="22"/>
    </row>
    <row r="68" spans="2:15" ht="15" customHeight="1">
      <c r="B68" s="74"/>
      <c r="C68" s="22">
        <v>3</v>
      </c>
      <c r="D68" s="21" t="s">
        <v>82</v>
      </c>
      <c r="E68" s="22"/>
      <c r="F68" s="28" t="s">
        <v>83</v>
      </c>
      <c r="G68" s="25">
        <f>'111 LS CS1'!G68</f>
        <v>2500</v>
      </c>
      <c r="H68" s="28" t="s">
        <v>84</v>
      </c>
      <c r="I68" s="24">
        <f>'111 LS CS1'!I68</f>
        <v>7</v>
      </c>
      <c r="J68" s="28" t="s">
        <v>85</v>
      </c>
      <c r="K68" s="24">
        <f>'111 LS CS1'!K68</f>
        <v>365</v>
      </c>
      <c r="L68" s="28" t="s">
        <v>86</v>
      </c>
      <c r="M68" s="24">
        <f>'111 LS CS1'!M68</f>
        <v>2</v>
      </c>
      <c r="N68" s="65">
        <f>G68*I68*K68*M68</f>
        <v>12775000</v>
      </c>
      <c r="O68" s="22"/>
    </row>
    <row r="70" spans="2:15" ht="15" customHeight="1">
      <c r="B70" s="73" t="s">
        <v>137</v>
      </c>
      <c r="C70" s="21" t="s">
        <v>140</v>
      </c>
      <c r="D70" s="22"/>
      <c r="E70" s="22"/>
      <c r="F70" s="62">
        <v>1</v>
      </c>
      <c r="G70" s="63">
        <f>VLOOKUP(F70,C72:N73,12,FALSE)</f>
        <v>31995689</v>
      </c>
      <c r="H70" s="22"/>
      <c r="I70" s="64" t="s">
        <v>81</v>
      </c>
      <c r="J70" s="22"/>
      <c r="K70" s="22"/>
      <c r="L70" s="22"/>
      <c r="M70" s="22"/>
      <c r="N70" s="22"/>
      <c r="O70" s="22"/>
    </row>
    <row r="71" spans="2:15" ht="15" customHeight="1">
      <c r="B71" s="32"/>
      <c r="C71" s="22"/>
      <c r="D71" s="22"/>
      <c r="E71" s="22"/>
      <c r="F71" s="22"/>
      <c r="G71" s="22"/>
      <c r="H71" s="22"/>
      <c r="I71" s="22"/>
      <c r="J71" s="22"/>
      <c r="K71" s="22"/>
      <c r="L71" s="22"/>
      <c r="M71" s="22"/>
      <c r="N71" s="22"/>
      <c r="O71" s="22"/>
    </row>
    <row r="72" spans="2:15" ht="15" customHeight="1">
      <c r="B72" s="32"/>
      <c r="C72" s="22">
        <v>1</v>
      </c>
      <c r="D72" s="21" t="s">
        <v>138</v>
      </c>
      <c r="E72" s="22"/>
      <c r="F72" s="22"/>
      <c r="G72" s="48">
        <f>'101 LS LY'!D24</f>
        <v>0.11</v>
      </c>
      <c r="H72" s="22"/>
      <c r="I72" s="22"/>
      <c r="J72" s="22"/>
      <c r="K72" s="22"/>
      <c r="L72" s="22"/>
      <c r="M72" s="22"/>
      <c r="N72" s="65">
        <f>G72*C12</f>
        <v>31995689</v>
      </c>
      <c r="O72" s="113">
        <f>N72/$C$10</f>
        <v>0.11</v>
      </c>
    </row>
    <row r="73" spans="2:15" ht="15" customHeight="1">
      <c r="B73" s="32"/>
      <c r="C73" s="75">
        <v>2</v>
      </c>
      <c r="D73" s="73" t="s">
        <v>141</v>
      </c>
      <c r="E73" s="75"/>
      <c r="F73" s="1" t="s">
        <v>144</v>
      </c>
      <c r="G73" s="103" t="s">
        <v>167</v>
      </c>
      <c r="H73" s="28" t="s">
        <v>145</v>
      </c>
      <c r="I73" s="82" t="s">
        <v>168</v>
      </c>
      <c r="J73" s="28" t="s">
        <v>38</v>
      </c>
      <c r="K73" s="102" t="s">
        <v>165</v>
      </c>
      <c r="L73" s="103" t="s">
        <v>166</v>
      </c>
      <c r="N73" s="96">
        <f>I99</f>
        <v>36074375</v>
      </c>
      <c r="O73" s="113">
        <f>N73/$C$10</f>
        <v>0.12402237220145501</v>
      </c>
    </row>
    <row r="74" spans="2:15" ht="15" customHeight="1">
      <c r="B74" s="32"/>
      <c r="C74" s="22"/>
      <c r="D74" s="22">
        <v>1</v>
      </c>
      <c r="E74" s="78" t="s">
        <v>142</v>
      </c>
      <c r="F74" s="27">
        <f>'111 LS CS1'!F74</f>
        <v>0.1</v>
      </c>
      <c r="G74" s="97">
        <f>ROUND(F74*$J$7,0)</f>
        <v>2880</v>
      </c>
      <c r="H74" s="27">
        <f>'111 LS CS1'!H74</f>
        <v>0.02</v>
      </c>
      <c r="I74" s="63">
        <f>ROUND(H74*L74,0)</f>
        <v>518400</v>
      </c>
      <c r="J74" s="63">
        <f t="shared" ref="J74:J98" si="7">IF(G74&gt;0,IF(K74&gt;0,K74,$C$8),"")</f>
        <v>9000</v>
      </c>
      <c r="K74" s="25">
        <f>'111 LS CS1'!K74</f>
        <v>9000</v>
      </c>
      <c r="L74" s="67">
        <f>IFERROR(J74*G74,0)</f>
        <v>25920000</v>
      </c>
      <c r="M74" s="22"/>
      <c r="N74" s="22"/>
      <c r="O74" s="22"/>
    </row>
    <row r="75" spans="2:15" ht="15" customHeight="1">
      <c r="B75" s="32"/>
      <c r="C75" s="22"/>
      <c r="D75" s="22">
        <v>2</v>
      </c>
      <c r="E75" s="98" t="s">
        <v>148</v>
      </c>
      <c r="F75" s="27">
        <f>'111 LS CS1'!F75</f>
        <v>0</v>
      </c>
      <c r="G75" s="97">
        <f t="shared" ref="G75:G98" si="8">ROUND(F75*$J$7,0)</f>
        <v>0</v>
      </c>
      <c r="H75" s="27">
        <f>'111 LS CS1'!H75</f>
        <v>0</v>
      </c>
      <c r="I75" s="63">
        <f t="shared" ref="I75:I98" si="9">ROUND(H75*L75,0)</f>
        <v>0</v>
      </c>
      <c r="J75" s="63" t="str">
        <f t="shared" si="7"/>
        <v/>
      </c>
      <c r="K75" s="25">
        <f>'111 LS CS1'!K75</f>
        <v>0</v>
      </c>
      <c r="L75" s="67">
        <f t="shared" ref="L75:L87" si="10">IFERROR(J75*G75,0)</f>
        <v>0</v>
      </c>
      <c r="M75" s="22"/>
      <c r="N75" s="22"/>
      <c r="O75" s="22"/>
    </row>
    <row r="76" spans="2:15" ht="15" customHeight="1">
      <c r="B76" s="32"/>
      <c r="C76" s="22"/>
      <c r="D76" s="22">
        <v>3</v>
      </c>
      <c r="E76" s="98" t="s">
        <v>149</v>
      </c>
      <c r="F76" s="27">
        <f>'111 LS CS1'!F76</f>
        <v>0</v>
      </c>
      <c r="G76" s="97">
        <f t="shared" si="8"/>
        <v>0</v>
      </c>
      <c r="H76" s="27">
        <f>'111 LS CS1'!H76</f>
        <v>0</v>
      </c>
      <c r="I76" s="63">
        <f t="shared" si="9"/>
        <v>0</v>
      </c>
      <c r="J76" s="63" t="str">
        <f t="shared" si="7"/>
        <v/>
      </c>
      <c r="K76" s="25">
        <f>'111 LS CS1'!K76</f>
        <v>0</v>
      </c>
      <c r="L76" s="67">
        <f t="shared" si="10"/>
        <v>0</v>
      </c>
      <c r="M76" s="22"/>
      <c r="N76" s="22"/>
      <c r="O76" s="22"/>
    </row>
    <row r="77" spans="2:15" ht="15" customHeight="1">
      <c r="B77" s="32"/>
      <c r="C77" s="22"/>
      <c r="D77" s="22">
        <v>4</v>
      </c>
      <c r="E77" s="98" t="s">
        <v>150</v>
      </c>
      <c r="F77" s="27">
        <f>'111 LS CS1'!F77</f>
        <v>0</v>
      </c>
      <c r="G77" s="97">
        <f t="shared" si="8"/>
        <v>0</v>
      </c>
      <c r="H77" s="27">
        <f>'111 LS CS1'!H77</f>
        <v>0</v>
      </c>
      <c r="I77" s="63">
        <f t="shared" si="9"/>
        <v>0</v>
      </c>
      <c r="J77" s="63" t="str">
        <f t="shared" si="7"/>
        <v/>
      </c>
      <c r="K77" s="25">
        <f>'111 LS CS1'!K77</f>
        <v>0</v>
      </c>
      <c r="L77" s="67">
        <f t="shared" si="10"/>
        <v>0</v>
      </c>
      <c r="M77" s="22"/>
      <c r="N77" s="22"/>
      <c r="O77" s="22"/>
    </row>
    <row r="78" spans="2:15" ht="15" customHeight="1">
      <c r="B78" s="32"/>
      <c r="C78" s="22"/>
      <c r="D78" s="22">
        <v>5</v>
      </c>
      <c r="E78" s="98" t="s">
        <v>156</v>
      </c>
      <c r="F78" s="27">
        <f>'111 LS CS1'!F78</f>
        <v>0.3</v>
      </c>
      <c r="G78" s="97">
        <f t="shared" si="8"/>
        <v>8640</v>
      </c>
      <c r="H78" s="27">
        <f>'111 LS CS1'!H78</f>
        <v>0.1</v>
      </c>
      <c r="I78" s="63">
        <f t="shared" si="9"/>
        <v>8726400</v>
      </c>
      <c r="J78" s="63">
        <f t="shared" si="7"/>
        <v>10100</v>
      </c>
      <c r="K78" s="25">
        <f>'111 LS CS1'!K78</f>
        <v>0</v>
      </c>
      <c r="L78" s="67">
        <f t="shared" si="10"/>
        <v>87264000</v>
      </c>
      <c r="M78" s="22"/>
      <c r="N78" s="22"/>
      <c r="O78" s="22"/>
    </row>
    <row r="79" spans="2:15" ht="15" customHeight="1">
      <c r="B79" s="32"/>
      <c r="C79" s="22"/>
      <c r="D79" s="22">
        <v>6</v>
      </c>
      <c r="E79" s="80" t="s">
        <v>151</v>
      </c>
      <c r="F79" s="27">
        <f>'111 LS CS1'!F79</f>
        <v>0</v>
      </c>
      <c r="G79" s="97">
        <f t="shared" si="8"/>
        <v>0</v>
      </c>
      <c r="H79" s="27">
        <f>'111 LS CS1'!H79</f>
        <v>0</v>
      </c>
      <c r="I79" s="63">
        <f t="shared" si="9"/>
        <v>0</v>
      </c>
      <c r="J79" s="63" t="str">
        <f t="shared" si="7"/>
        <v/>
      </c>
      <c r="K79" s="25">
        <f>'111 LS CS1'!K79</f>
        <v>0</v>
      </c>
      <c r="L79" s="67">
        <f t="shared" si="10"/>
        <v>0</v>
      </c>
      <c r="M79" s="22"/>
      <c r="N79" s="22"/>
      <c r="O79" s="22"/>
    </row>
    <row r="80" spans="2:15" ht="15" customHeight="1">
      <c r="B80" s="32"/>
      <c r="C80" s="22"/>
      <c r="D80" s="22">
        <v>7</v>
      </c>
      <c r="E80" s="80" t="s">
        <v>152</v>
      </c>
      <c r="F80" s="27">
        <f>'111 LS CS1'!F80</f>
        <v>0</v>
      </c>
      <c r="G80" s="97">
        <f t="shared" si="8"/>
        <v>0</v>
      </c>
      <c r="H80" s="27">
        <f>'111 LS CS1'!H80</f>
        <v>0</v>
      </c>
      <c r="I80" s="63">
        <f t="shared" si="9"/>
        <v>0</v>
      </c>
      <c r="J80" s="63" t="str">
        <f t="shared" si="7"/>
        <v/>
      </c>
      <c r="K80" s="25">
        <f>'111 LS CS1'!K80</f>
        <v>0</v>
      </c>
      <c r="L80" s="67">
        <f t="shared" si="10"/>
        <v>0</v>
      </c>
      <c r="M80" s="22"/>
      <c r="N80" s="22"/>
      <c r="O80" s="22"/>
    </row>
    <row r="81" spans="2:15" ht="15" customHeight="1">
      <c r="B81" s="32"/>
      <c r="C81" s="22"/>
      <c r="D81" s="22">
        <v>8</v>
      </c>
      <c r="E81" s="80" t="s">
        <v>153</v>
      </c>
      <c r="F81" s="27">
        <f>'111 LS CS1'!F81</f>
        <v>0</v>
      </c>
      <c r="G81" s="97">
        <f t="shared" si="8"/>
        <v>0</v>
      </c>
      <c r="H81" s="27">
        <f>'111 LS CS1'!H81</f>
        <v>0</v>
      </c>
      <c r="I81" s="63">
        <f t="shared" si="9"/>
        <v>0</v>
      </c>
      <c r="J81" s="63" t="str">
        <f t="shared" si="7"/>
        <v/>
      </c>
      <c r="K81" s="25">
        <f>'111 LS CS1'!K81</f>
        <v>0</v>
      </c>
      <c r="L81" s="67">
        <f t="shared" si="10"/>
        <v>0</v>
      </c>
      <c r="M81" s="22"/>
      <c r="N81" s="22"/>
      <c r="O81" s="22"/>
    </row>
    <row r="82" spans="2:15" ht="15" customHeight="1">
      <c r="B82" s="32"/>
      <c r="C82" s="22"/>
      <c r="D82" s="22">
        <v>9</v>
      </c>
      <c r="E82" s="80" t="s">
        <v>154</v>
      </c>
      <c r="F82" s="27">
        <f>'111 LS CS1'!F82</f>
        <v>0</v>
      </c>
      <c r="G82" s="97">
        <f t="shared" si="8"/>
        <v>0</v>
      </c>
      <c r="H82" s="27">
        <f>'111 LS CS1'!H82</f>
        <v>0</v>
      </c>
      <c r="I82" s="63">
        <f t="shared" si="9"/>
        <v>0</v>
      </c>
      <c r="J82" s="63" t="str">
        <f t="shared" si="7"/>
        <v/>
      </c>
      <c r="K82" s="25">
        <f>'111 LS CS1'!K82</f>
        <v>0</v>
      </c>
      <c r="L82" s="67">
        <f t="shared" si="10"/>
        <v>0</v>
      </c>
      <c r="M82" s="22"/>
      <c r="N82" s="22"/>
      <c r="O82" s="22"/>
    </row>
    <row r="83" spans="2:15" ht="15" customHeight="1">
      <c r="B83" s="32"/>
      <c r="C83" s="22"/>
      <c r="D83" s="22">
        <v>10</v>
      </c>
      <c r="E83" s="80" t="s">
        <v>155</v>
      </c>
      <c r="F83" s="27">
        <f>'111 LS CS1'!F83</f>
        <v>0.2</v>
      </c>
      <c r="G83" s="97">
        <f t="shared" si="8"/>
        <v>5760</v>
      </c>
      <c r="H83" s="27">
        <f>'111 LS CS1'!H83</f>
        <v>0.19</v>
      </c>
      <c r="I83" s="63">
        <f t="shared" si="9"/>
        <v>13132800</v>
      </c>
      <c r="J83" s="63">
        <f t="shared" si="7"/>
        <v>12000</v>
      </c>
      <c r="K83" s="25">
        <f>'111 LS CS1'!K83</f>
        <v>12000</v>
      </c>
      <c r="L83" s="67">
        <f t="shared" si="10"/>
        <v>69120000</v>
      </c>
      <c r="M83" s="22"/>
      <c r="N83" s="22"/>
      <c r="O83" s="22"/>
    </row>
    <row r="84" spans="2:15" ht="15" customHeight="1">
      <c r="B84" s="32"/>
      <c r="C84" s="22"/>
      <c r="D84" s="22">
        <v>11</v>
      </c>
      <c r="E84" s="80" t="s">
        <v>158</v>
      </c>
      <c r="F84" s="27">
        <f>'111 LS CS1'!F84</f>
        <v>0.1</v>
      </c>
      <c r="G84" s="97">
        <f t="shared" si="8"/>
        <v>2880</v>
      </c>
      <c r="H84" s="27">
        <f>'111 LS CS1'!H84</f>
        <v>0.16</v>
      </c>
      <c r="I84" s="63">
        <f t="shared" si="9"/>
        <v>4654080</v>
      </c>
      <c r="J84" s="63">
        <f t="shared" si="7"/>
        <v>10100</v>
      </c>
      <c r="K84" s="25">
        <f>'111 LS CS1'!K84</f>
        <v>0</v>
      </c>
      <c r="L84" s="67">
        <f t="shared" si="10"/>
        <v>29088000</v>
      </c>
      <c r="M84" s="22"/>
      <c r="N84" s="22"/>
      <c r="O84" s="22"/>
    </row>
    <row r="85" spans="2:15" ht="15" customHeight="1">
      <c r="B85" s="32"/>
      <c r="C85" s="22"/>
      <c r="D85" s="22">
        <v>12</v>
      </c>
      <c r="E85" s="80" t="s">
        <v>157</v>
      </c>
      <c r="F85" s="27">
        <f>'111 LS CS1'!F85</f>
        <v>0</v>
      </c>
      <c r="G85" s="97">
        <f t="shared" si="8"/>
        <v>0</v>
      </c>
      <c r="H85" s="27">
        <f>'111 LS CS1'!H85</f>
        <v>0</v>
      </c>
      <c r="I85" s="63">
        <f t="shared" si="9"/>
        <v>0</v>
      </c>
      <c r="J85" s="63" t="str">
        <f t="shared" si="7"/>
        <v/>
      </c>
      <c r="K85" s="25">
        <f>'111 LS CS1'!K85</f>
        <v>0</v>
      </c>
      <c r="L85" s="67">
        <f t="shared" si="10"/>
        <v>0</v>
      </c>
      <c r="M85" s="22"/>
      <c r="N85" s="22"/>
      <c r="O85" s="22"/>
    </row>
    <row r="86" spans="2:15" ht="15" customHeight="1">
      <c r="B86" s="32"/>
      <c r="C86" s="22"/>
      <c r="D86" s="22">
        <v>13</v>
      </c>
      <c r="E86" s="99" t="str">
        <f>'111 LS CS1'!E86</f>
        <v>‐</v>
      </c>
      <c r="F86" s="27">
        <f>'111 LS CS1'!F86</f>
        <v>0</v>
      </c>
      <c r="G86" s="97">
        <f t="shared" si="8"/>
        <v>0</v>
      </c>
      <c r="H86" s="27">
        <f>'111 LS CS1'!H86</f>
        <v>0</v>
      </c>
      <c r="I86" s="63">
        <f t="shared" si="9"/>
        <v>0</v>
      </c>
      <c r="J86" s="63" t="str">
        <f t="shared" si="7"/>
        <v/>
      </c>
      <c r="K86" s="25">
        <f>'111 LS CS1'!K86</f>
        <v>0</v>
      </c>
      <c r="L86" s="67">
        <f t="shared" si="10"/>
        <v>0</v>
      </c>
      <c r="M86" s="22"/>
      <c r="N86" s="22"/>
      <c r="O86" s="22"/>
    </row>
    <row r="87" spans="2:15" ht="15" customHeight="1">
      <c r="B87" s="32"/>
      <c r="C87" s="22"/>
      <c r="D87" s="22">
        <v>14</v>
      </c>
      <c r="E87" s="99" t="str">
        <f>'111 LS CS1'!E87</f>
        <v>‐</v>
      </c>
      <c r="F87" s="27">
        <f>'111 LS CS1'!F87</f>
        <v>0</v>
      </c>
      <c r="G87" s="97">
        <f t="shared" si="8"/>
        <v>0</v>
      </c>
      <c r="H87" s="27">
        <f>'111 LS CS1'!H87</f>
        <v>0</v>
      </c>
      <c r="I87" s="63">
        <f t="shared" si="9"/>
        <v>0</v>
      </c>
      <c r="J87" s="63" t="str">
        <f t="shared" si="7"/>
        <v/>
      </c>
      <c r="K87" s="25">
        <f>'111 LS CS1'!K87</f>
        <v>0</v>
      </c>
      <c r="L87" s="67">
        <f t="shared" si="10"/>
        <v>0</v>
      </c>
      <c r="M87" s="22"/>
      <c r="N87" s="22"/>
      <c r="O87" s="22"/>
    </row>
    <row r="88" spans="2:15" ht="15" customHeight="1">
      <c r="B88" s="32"/>
      <c r="C88" s="22"/>
      <c r="D88" s="108">
        <v>15</v>
      </c>
      <c r="E88" s="108" t="str">
        <f>'111 LS CS1'!E88</f>
        <v>個人　その他</v>
      </c>
      <c r="F88" s="111">
        <f>'111 LS CS1'!F88</f>
        <v>9.9999999999999867E-2</v>
      </c>
      <c r="G88" s="109">
        <f>J7-SUM(G74:G87,G89:G98)</f>
        <v>2879</v>
      </c>
      <c r="H88" s="27">
        <f>'111 LS CS1'!H88</f>
        <v>0.05</v>
      </c>
      <c r="I88" s="110">
        <f t="shared" si="9"/>
        <v>1669895</v>
      </c>
      <c r="J88" s="112">
        <f>IFERROR(L88/G88,"Error")</f>
        <v>11600.521014241056</v>
      </c>
      <c r="K88" s="25">
        <f>'111 LS CS1'!K88</f>
        <v>0</v>
      </c>
      <c r="L88" s="101">
        <f>C10-SUM(L74:L87,L89:L98)</f>
        <v>33397900</v>
      </c>
      <c r="M88" s="108"/>
      <c r="N88" s="108"/>
      <c r="O88" s="108"/>
    </row>
    <row r="89" spans="2:15" ht="15" customHeight="1">
      <c r="B89" s="32"/>
      <c r="C89" s="22"/>
      <c r="D89" s="22">
        <v>16</v>
      </c>
      <c r="E89" s="99" t="str">
        <f>'111 LS CS1'!E89</f>
        <v>団体　国内募集旅行</v>
      </c>
      <c r="F89" s="27">
        <f>'111 LS CS1'!F89</f>
        <v>0</v>
      </c>
      <c r="G89" s="97">
        <f t="shared" si="8"/>
        <v>0</v>
      </c>
      <c r="H89" s="27">
        <f>'111 LS CS1'!H89</f>
        <v>0</v>
      </c>
      <c r="I89" s="63">
        <f t="shared" si="9"/>
        <v>0</v>
      </c>
      <c r="J89" s="63" t="str">
        <f t="shared" si="7"/>
        <v/>
      </c>
      <c r="K89" s="25">
        <f>'111 LS CS1'!K89</f>
        <v>0</v>
      </c>
      <c r="L89" s="67">
        <f t="shared" ref="L89:L98" si="11">IFERROR(J89*G89,0)</f>
        <v>0</v>
      </c>
      <c r="M89" s="22"/>
      <c r="N89" s="22"/>
      <c r="O89" s="22"/>
    </row>
    <row r="90" spans="2:15" ht="15" customHeight="1">
      <c r="B90" s="32"/>
      <c r="C90" s="22"/>
      <c r="D90" s="22">
        <v>17</v>
      </c>
      <c r="E90" s="99" t="str">
        <f>'111 LS CS1'!E90</f>
        <v>団体　国内その他</v>
      </c>
      <c r="F90" s="27">
        <f>'111 LS CS1'!F90</f>
        <v>0.2</v>
      </c>
      <c r="G90" s="97">
        <f t="shared" si="8"/>
        <v>5760</v>
      </c>
      <c r="H90" s="27">
        <f>'111 LS CS1'!H90</f>
        <v>0.16</v>
      </c>
      <c r="I90" s="63">
        <f t="shared" si="9"/>
        <v>7372800</v>
      </c>
      <c r="J90" s="63">
        <f t="shared" si="7"/>
        <v>8000</v>
      </c>
      <c r="K90" s="25">
        <f>'111 LS CS1'!K90</f>
        <v>8000</v>
      </c>
      <c r="L90" s="67">
        <f t="shared" si="11"/>
        <v>46080000</v>
      </c>
      <c r="M90" s="22"/>
      <c r="N90" s="22"/>
      <c r="O90" s="22"/>
    </row>
    <row r="91" spans="2:15" ht="15" customHeight="1">
      <c r="B91" s="32"/>
      <c r="C91" s="22"/>
      <c r="D91" s="22">
        <v>18</v>
      </c>
      <c r="E91" s="99" t="str">
        <f>'111 LS CS1'!E91</f>
        <v>団体　インバウンド　</v>
      </c>
      <c r="F91" s="27">
        <f>'111 LS CS1'!F91</f>
        <v>0</v>
      </c>
      <c r="G91" s="97">
        <f t="shared" si="8"/>
        <v>0</v>
      </c>
      <c r="H91" s="27">
        <f>'111 LS CS1'!H91</f>
        <v>0</v>
      </c>
      <c r="I91" s="63">
        <f t="shared" si="9"/>
        <v>0</v>
      </c>
      <c r="J91" s="63" t="str">
        <f t="shared" si="7"/>
        <v/>
      </c>
      <c r="K91" s="25">
        <f>'111 LS CS1'!K91</f>
        <v>0</v>
      </c>
      <c r="L91" s="67">
        <f t="shared" si="11"/>
        <v>0</v>
      </c>
      <c r="M91" s="22"/>
      <c r="N91" s="22"/>
      <c r="O91" s="22"/>
    </row>
    <row r="92" spans="2:15" ht="15" customHeight="1">
      <c r="B92" s="32"/>
      <c r="C92" s="22"/>
      <c r="D92" s="22">
        <v>19</v>
      </c>
      <c r="E92" s="99" t="str">
        <f>'111 LS CS1'!E92</f>
        <v>団体　インバウンド　</v>
      </c>
      <c r="F92" s="27">
        <f>'111 LS CS1'!F92</f>
        <v>0</v>
      </c>
      <c r="G92" s="97">
        <f t="shared" si="8"/>
        <v>0</v>
      </c>
      <c r="H92" s="27">
        <f>'111 LS CS1'!H92</f>
        <v>0</v>
      </c>
      <c r="I92" s="63">
        <f t="shared" si="9"/>
        <v>0</v>
      </c>
      <c r="J92" s="63" t="str">
        <f t="shared" si="7"/>
        <v/>
      </c>
      <c r="K92" s="25">
        <f>'111 LS CS1'!K92</f>
        <v>0</v>
      </c>
      <c r="L92" s="67">
        <f t="shared" si="11"/>
        <v>0</v>
      </c>
      <c r="M92" s="22"/>
      <c r="N92" s="22"/>
      <c r="O92" s="22"/>
    </row>
    <row r="93" spans="2:15" ht="15" customHeight="1">
      <c r="B93" s="32"/>
      <c r="C93" s="22"/>
      <c r="D93" s="22">
        <v>20</v>
      </c>
      <c r="E93" s="99" t="str">
        <f>'111 LS CS1'!E93</f>
        <v>‐</v>
      </c>
      <c r="F93" s="27">
        <f>'111 LS CS1'!F93</f>
        <v>0</v>
      </c>
      <c r="G93" s="97">
        <f t="shared" si="8"/>
        <v>0</v>
      </c>
      <c r="H93" s="27">
        <f>'111 LS CS1'!H93</f>
        <v>0</v>
      </c>
      <c r="I93" s="63">
        <f t="shared" si="9"/>
        <v>0</v>
      </c>
      <c r="J93" s="63" t="str">
        <f t="shared" si="7"/>
        <v/>
      </c>
      <c r="K93" s="25">
        <f>'111 LS CS1'!K93</f>
        <v>0</v>
      </c>
      <c r="L93" s="67">
        <f t="shared" si="11"/>
        <v>0</v>
      </c>
      <c r="M93" s="22"/>
      <c r="N93" s="22"/>
      <c r="O93" s="22"/>
    </row>
    <row r="94" spans="2:15" ht="15" customHeight="1">
      <c r="B94" s="32"/>
      <c r="C94" s="22"/>
      <c r="D94" s="22">
        <v>21</v>
      </c>
      <c r="E94" s="99" t="str">
        <f>'111 LS CS1'!E94</f>
        <v>‐</v>
      </c>
      <c r="F94" s="27">
        <f>'111 LS CS1'!F94</f>
        <v>0</v>
      </c>
      <c r="G94" s="97">
        <f t="shared" si="8"/>
        <v>0</v>
      </c>
      <c r="H94" s="27">
        <f>'111 LS CS1'!H94</f>
        <v>0</v>
      </c>
      <c r="I94" s="63">
        <f t="shared" si="9"/>
        <v>0</v>
      </c>
      <c r="J94" s="63" t="str">
        <f t="shared" si="7"/>
        <v/>
      </c>
      <c r="K94" s="25">
        <f>'111 LS CS1'!K94</f>
        <v>0</v>
      </c>
      <c r="L94" s="67">
        <f t="shared" si="11"/>
        <v>0</v>
      </c>
      <c r="M94" s="22"/>
      <c r="N94" s="22"/>
      <c r="O94" s="22"/>
    </row>
    <row r="95" spans="2:15" ht="15" customHeight="1">
      <c r="B95" s="32"/>
      <c r="C95" s="22"/>
      <c r="D95" s="22">
        <v>22</v>
      </c>
      <c r="E95" s="99" t="str">
        <f>'111 LS CS1'!E95</f>
        <v>‐</v>
      </c>
      <c r="F95" s="27">
        <f>'111 LS CS1'!F95</f>
        <v>0</v>
      </c>
      <c r="G95" s="97">
        <f t="shared" si="8"/>
        <v>0</v>
      </c>
      <c r="H95" s="27">
        <f>'111 LS CS1'!H95</f>
        <v>0</v>
      </c>
      <c r="I95" s="63">
        <f t="shared" si="9"/>
        <v>0</v>
      </c>
      <c r="J95" s="63" t="str">
        <f t="shared" si="7"/>
        <v/>
      </c>
      <c r="K95" s="25">
        <f>'111 LS CS1'!K95</f>
        <v>0</v>
      </c>
      <c r="L95" s="67">
        <f t="shared" si="11"/>
        <v>0</v>
      </c>
      <c r="M95" s="22"/>
      <c r="N95" s="22"/>
      <c r="O95" s="22"/>
    </row>
    <row r="96" spans="2:15" ht="15" customHeight="1">
      <c r="B96" s="32"/>
      <c r="C96" s="22"/>
      <c r="D96" s="22">
        <v>23</v>
      </c>
      <c r="E96" s="99" t="str">
        <f>'111 LS CS1'!E96</f>
        <v>‐</v>
      </c>
      <c r="F96" s="27">
        <f>'111 LS CS1'!F96</f>
        <v>0</v>
      </c>
      <c r="G96" s="97">
        <f t="shared" si="8"/>
        <v>0</v>
      </c>
      <c r="H96" s="27">
        <f>'111 LS CS1'!H96</f>
        <v>0</v>
      </c>
      <c r="I96" s="63">
        <f t="shared" si="9"/>
        <v>0</v>
      </c>
      <c r="J96" s="63" t="str">
        <f t="shared" si="7"/>
        <v/>
      </c>
      <c r="K96" s="25">
        <f>'111 LS CS1'!K96</f>
        <v>0</v>
      </c>
      <c r="L96" s="67">
        <f t="shared" si="11"/>
        <v>0</v>
      </c>
      <c r="M96" s="22"/>
      <c r="N96" s="22"/>
      <c r="O96" s="22"/>
    </row>
    <row r="97" spans="1:15" ht="15" customHeight="1">
      <c r="B97" s="32"/>
      <c r="C97" s="22"/>
      <c r="D97" s="22">
        <v>24</v>
      </c>
      <c r="E97" s="99" t="str">
        <f>'111 LS CS1'!E97</f>
        <v>‐</v>
      </c>
      <c r="F97" s="27">
        <f>'111 LS CS1'!F97</f>
        <v>0</v>
      </c>
      <c r="G97" s="97">
        <f t="shared" si="8"/>
        <v>0</v>
      </c>
      <c r="H97" s="27">
        <f>'111 LS CS1'!H97</f>
        <v>0</v>
      </c>
      <c r="I97" s="63">
        <f t="shared" si="9"/>
        <v>0</v>
      </c>
      <c r="J97" s="63" t="str">
        <f t="shared" si="7"/>
        <v/>
      </c>
      <c r="K97" s="25">
        <f>'111 LS CS1'!K97</f>
        <v>0</v>
      </c>
      <c r="L97" s="67">
        <f t="shared" si="11"/>
        <v>0</v>
      </c>
      <c r="M97" s="22"/>
      <c r="N97" s="22"/>
      <c r="O97" s="22"/>
    </row>
    <row r="98" spans="1:15" ht="15" customHeight="1">
      <c r="B98" s="32"/>
      <c r="C98" s="22"/>
      <c r="D98" s="22">
        <v>25</v>
      </c>
      <c r="E98" s="100" t="s">
        <v>164</v>
      </c>
      <c r="F98" s="27">
        <f>'111 LS CS1'!F98</f>
        <v>0</v>
      </c>
      <c r="G98" s="97">
        <f t="shared" si="8"/>
        <v>0</v>
      </c>
      <c r="H98" s="27">
        <f>'111 LS CS1'!H98</f>
        <v>0</v>
      </c>
      <c r="I98" s="63">
        <f t="shared" si="9"/>
        <v>0</v>
      </c>
      <c r="J98" s="63" t="str">
        <f t="shared" si="7"/>
        <v/>
      </c>
      <c r="K98" s="25">
        <f>'111 LS CS1'!K98</f>
        <v>0</v>
      </c>
      <c r="L98" s="67">
        <f t="shared" si="11"/>
        <v>0</v>
      </c>
      <c r="M98" s="22"/>
      <c r="N98" s="22"/>
      <c r="O98" s="22"/>
    </row>
    <row r="99" spans="1:15" ht="15" customHeight="1">
      <c r="B99" s="74"/>
      <c r="C99" s="22"/>
      <c r="D99" s="21"/>
      <c r="E99" s="21"/>
      <c r="F99" s="104">
        <f>SUM(F74:F98)</f>
        <v>1</v>
      </c>
      <c r="G99" s="97">
        <f>SUM(G74:G98)</f>
        <v>28799</v>
      </c>
      <c r="H99" s="107">
        <f>IFERROR(I99/L99,0)</f>
        <v>0.12402237220145501</v>
      </c>
      <c r="I99" s="106">
        <f>SUM(I74:I98)</f>
        <v>36074375</v>
      </c>
      <c r="J99" s="105">
        <f>C8</f>
        <v>10100</v>
      </c>
      <c r="K99" s="22"/>
      <c r="L99" s="26">
        <f>SUM(L74:L98)</f>
        <v>290869900</v>
      </c>
      <c r="M99" s="28"/>
      <c r="N99" s="28"/>
      <c r="O99" s="22"/>
    </row>
    <row r="100" spans="1:15" ht="15" customHeight="1">
      <c r="A100"/>
      <c r="B100"/>
      <c r="C100"/>
      <c r="D100"/>
      <c r="E100"/>
      <c r="F100"/>
      <c r="G100"/>
      <c r="H100"/>
      <c r="I100"/>
      <c r="J100"/>
      <c r="K100"/>
      <c r="L100"/>
      <c r="M100"/>
      <c r="N100"/>
      <c r="O100"/>
    </row>
    <row r="101" spans="1:15" ht="15" customHeight="1">
      <c r="D101" s="7" t="s">
        <v>146</v>
      </c>
    </row>
    <row r="102" spans="1:15" ht="15" customHeight="1">
      <c r="D102" s="7" t="s">
        <v>147</v>
      </c>
    </row>
  </sheetData>
  <mergeCells count="7">
    <mergeCell ref="K36:M36"/>
    <mergeCell ref="C4:G4"/>
    <mergeCell ref="K31:M31"/>
    <mergeCell ref="K32:M32"/>
    <mergeCell ref="K33:M33"/>
    <mergeCell ref="K34:M34"/>
    <mergeCell ref="K35:M35"/>
  </mergeCells>
  <phoneticPr fontId="3"/>
  <conditionalFormatting sqref="D16:D19 D21:D27">
    <cfRule type="dataBar" priority="4">
      <dataBar>
        <cfvo type="min"/>
        <cfvo type="max"/>
        <color rgb="FF638EC6"/>
      </dataBar>
      <extLst>
        <ext xmlns:x14="http://schemas.microsoft.com/office/spreadsheetml/2009/9/main" uri="{B025F937-C7B1-47D3-B67F-A62EFF666E3E}">
          <x14:id>{B3C1D809-DC7E-4FBE-AA30-611A2A089F83}</x14:id>
        </ext>
      </extLst>
    </cfRule>
  </conditionalFormatting>
  <conditionalFormatting sqref="F99">
    <cfRule type="cellIs" dxfId="5" priority="3" operator="notEqual">
      <formula>1</formula>
    </cfRule>
  </conditionalFormatting>
  <conditionalFormatting sqref="G74:G98">
    <cfRule type="dataBar" priority="2">
      <dataBar>
        <cfvo type="min"/>
        <cfvo type="max"/>
        <color rgb="FF63C384"/>
      </dataBar>
      <extLst>
        <ext xmlns:x14="http://schemas.microsoft.com/office/spreadsheetml/2009/9/main" uri="{B025F937-C7B1-47D3-B67F-A62EFF666E3E}">
          <x14:id>{40D7ECAC-403F-49AD-98F1-00836937508C}</x14:id>
        </ext>
      </extLst>
    </cfRule>
  </conditionalFormatting>
  <conditionalFormatting sqref="J74:J98">
    <cfRule type="dataBar" priority="5">
      <dataBar>
        <cfvo type="min"/>
        <cfvo type="max"/>
        <color rgb="FFFF555A"/>
      </dataBar>
      <extLst>
        <ext xmlns:x14="http://schemas.microsoft.com/office/spreadsheetml/2009/9/main" uri="{B025F937-C7B1-47D3-B67F-A62EFF666E3E}">
          <x14:id>{3117219F-BE14-4E4D-8B05-A1E02E0E7D87}</x14:id>
        </ext>
      </extLst>
    </cfRule>
  </conditionalFormatting>
  <conditionalFormatting sqref="J88">
    <cfRule type="containsText" dxfId="4" priority="1" operator="containsText" text="Error">
      <formula>NOT(ISERROR(SEARCH("Error",J88)))</formula>
    </cfRule>
  </conditionalFormatting>
  <dataValidations count="3">
    <dataValidation imeMode="off" allowBlank="1" showInputMessage="1" showErrorMessage="1" sqref="G31:G33 G7 L7 C11 I34:I36 F44:F45 I47:I50 G47:G50 I52:I55 G52:G55 E7:E8 G60:G62 I62 K62 M62 G66:G68 I68 K68 M68 G19 I19 J21:J23 L23 K74:K98 F89:F98 F74:F87 H74:H98 J25 G26:G27 I26:I27" xr:uid="{2FD07FBF-2C72-470F-91AC-B6019034DF31}"/>
    <dataValidation type="list" allowBlank="1" showInputMessage="1" showErrorMessage="1" sqref="F42 F58 F64" xr:uid="{64E8383B-9CA1-4AB9-9904-339FFB519FBD}">
      <formula1>"1,2,3"</formula1>
    </dataValidation>
    <dataValidation type="list" allowBlank="1" showInputMessage="1" showErrorMessage="1" sqref="F70" xr:uid="{1BD4D685-9CEA-48A6-8535-831DF11E84A3}">
      <formula1>"1,2"</formula1>
    </dataValidation>
  </dataValidations>
  <hyperlinks>
    <hyperlink ref="A1" location="index!A1" display="&lt;&lt;" xr:uid="{AAADB92F-13B2-4D83-829C-4EFA27774FDB}"/>
  </hyperlinks>
  <pageMargins left="0.70866141732283472" right="0.70866141732283472" top="0.74803149606299213" bottom="0.74803149606299213" header="0.31496062992125984" footer="0.31496062992125984"/>
  <pageSetup paperSize="9" scale="98"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B3C1D809-DC7E-4FBE-AA30-611A2A089F83}">
            <x14:dataBar minLength="0" maxLength="100" border="1" negativeBarBorderColorSameAsPositive="0">
              <x14:cfvo type="autoMin"/>
              <x14:cfvo type="autoMax"/>
              <x14:borderColor rgb="FF638EC6"/>
              <x14:negativeFillColor rgb="FFFF0000"/>
              <x14:negativeBorderColor rgb="FFFF0000"/>
              <x14:axisColor rgb="FF000000"/>
            </x14:dataBar>
          </x14:cfRule>
          <xm:sqref>D16:D19 D21:D27</xm:sqref>
        </x14:conditionalFormatting>
        <x14:conditionalFormatting xmlns:xm="http://schemas.microsoft.com/office/excel/2006/main">
          <x14:cfRule type="dataBar" id="{40D7ECAC-403F-49AD-98F1-00836937508C}">
            <x14:dataBar minLength="0" maxLength="100" border="1" negativeBarBorderColorSameAsPositive="0">
              <x14:cfvo type="autoMin"/>
              <x14:cfvo type="autoMax"/>
              <x14:borderColor rgb="FF63C384"/>
              <x14:negativeFillColor rgb="FFFF0000"/>
              <x14:negativeBorderColor rgb="FFFF0000"/>
              <x14:axisColor rgb="FF000000"/>
            </x14:dataBar>
          </x14:cfRule>
          <xm:sqref>G74:G98</xm:sqref>
        </x14:conditionalFormatting>
        <x14:conditionalFormatting xmlns:xm="http://schemas.microsoft.com/office/excel/2006/main">
          <x14:cfRule type="dataBar" id="{3117219F-BE14-4E4D-8B05-A1E02E0E7D87}">
            <x14:dataBar minLength="0" maxLength="100" border="1" negativeBarBorderColorSameAsPositive="0">
              <x14:cfvo type="autoMin"/>
              <x14:cfvo type="autoMax"/>
              <x14:borderColor rgb="FFFF555A"/>
              <x14:negativeFillColor rgb="FFFF0000"/>
              <x14:negativeBorderColor rgb="FFFF0000"/>
              <x14:axisColor rgb="FF000000"/>
            </x14:dataBar>
          </x14:cfRule>
          <xm:sqref>J74:J98</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F6AAF-5F4E-47EF-9968-6C15B750C3BE}">
  <sheetPr>
    <tabColor rgb="FFFFFF00"/>
    <pageSetUpPr fitToPage="1"/>
  </sheetPr>
  <dimension ref="A1:O102"/>
  <sheetViews>
    <sheetView showGridLines="0" zoomScale="90" zoomScaleNormal="90" workbookViewId="0">
      <selection activeCell="E8" sqref="E8"/>
    </sheetView>
  </sheetViews>
  <sheetFormatPr defaultRowHeight="15" customHeight="1"/>
  <cols>
    <col min="1" max="1" width="3.69140625" style="2" customWidth="1"/>
    <col min="2" max="15" width="16.69140625" style="2" customWidth="1"/>
  </cols>
  <sheetData>
    <row r="1" spans="1:15" ht="19.149999999999999" thickBot="1">
      <c r="A1" s="4" t="s">
        <v>0</v>
      </c>
      <c r="B1" s="3" t="s">
        <v>172</v>
      </c>
      <c r="C1" s="3"/>
      <c r="D1" s="3"/>
      <c r="E1" s="3"/>
      <c r="F1" s="3"/>
      <c r="G1" s="3"/>
      <c r="H1" s="3"/>
      <c r="I1" s="3"/>
      <c r="J1" s="3"/>
      <c r="K1" s="3"/>
      <c r="L1" s="3"/>
      <c r="M1" s="3"/>
      <c r="N1" s="3"/>
      <c r="O1" s="115" t="str">
        <f>index!$C$7</f>
        <v>Sample Hotel</v>
      </c>
    </row>
    <row r="2" spans="1:15" ht="15" customHeight="1" thickTop="1"/>
    <row r="3" spans="1:15" ht="15" customHeight="1">
      <c r="A3" s="13" t="s">
        <v>139</v>
      </c>
      <c r="N3" s="82" t="s">
        <v>256</v>
      </c>
      <c r="O3" s="118">
        <f>DATE(index!$J$7,index!$L$7,index!$N$7)</f>
        <v>44635</v>
      </c>
    </row>
    <row r="4" spans="1:15" ht="15" customHeight="1">
      <c r="B4" s="82" t="s">
        <v>133</v>
      </c>
      <c r="C4" s="152" t="s">
        <v>264</v>
      </c>
      <c r="D4" s="152"/>
      <c r="E4" s="152"/>
      <c r="F4" s="152"/>
      <c r="G4" s="152"/>
    </row>
    <row r="6" spans="1:15" ht="15" customHeight="1">
      <c r="B6" s="22" t="s">
        <v>44</v>
      </c>
      <c r="C6" s="23">
        <f>'101 LS LY'!C6</f>
        <v>100</v>
      </c>
      <c r="D6" s="22" t="s">
        <v>45</v>
      </c>
      <c r="E6" s="22"/>
      <c r="F6" s="22"/>
      <c r="G6" s="22"/>
      <c r="H6" s="22"/>
      <c r="I6" s="22"/>
      <c r="J6" s="22"/>
      <c r="K6" s="22"/>
      <c r="L6" s="22"/>
      <c r="M6" s="22"/>
      <c r="N6" s="22"/>
      <c r="O6" s="22"/>
    </row>
    <row r="7" spans="1:15" ht="15" customHeight="1">
      <c r="B7" s="59" t="s">
        <v>122</v>
      </c>
      <c r="C7" s="48">
        <f>IF(E7&gt;0,E7,'101 LS LY'!C7)</f>
        <v>0.75</v>
      </c>
      <c r="D7" s="31" t="s">
        <v>48</v>
      </c>
      <c r="E7" s="116">
        <v>0.75</v>
      </c>
      <c r="F7" s="30" t="s">
        <v>46</v>
      </c>
      <c r="G7" s="29">
        <f>'111 LS CS1'!G7</f>
        <v>365</v>
      </c>
      <c r="H7" s="22"/>
      <c r="I7" s="30" t="s">
        <v>47</v>
      </c>
      <c r="J7" s="23">
        <f>IF(L7&gt;0,L7,ROUND(C6*G7*C7,0))</f>
        <v>27375</v>
      </c>
      <c r="K7" s="31" t="s">
        <v>48</v>
      </c>
      <c r="L7" s="24">
        <f>'111 LS CS1'!L7</f>
        <v>0</v>
      </c>
      <c r="M7" s="31" t="s">
        <v>49</v>
      </c>
      <c r="N7" s="22"/>
      <c r="O7" s="22"/>
    </row>
    <row r="8" spans="1:15" ht="15" customHeight="1">
      <c r="B8" s="59" t="s">
        <v>38</v>
      </c>
      <c r="C8" s="63">
        <f>IF(E8&gt;0,E8,'101 LS LY'!C8)</f>
        <v>10500</v>
      </c>
      <c r="D8" s="31" t="s">
        <v>48</v>
      </c>
      <c r="E8" s="24">
        <v>10500</v>
      </c>
      <c r="F8" s="22"/>
      <c r="G8" s="22"/>
      <c r="H8" s="22"/>
      <c r="I8" s="22"/>
      <c r="J8" s="22"/>
      <c r="K8" s="22"/>
      <c r="L8" s="22"/>
      <c r="M8" s="22"/>
      <c r="N8" s="22"/>
      <c r="O8" s="22"/>
    </row>
    <row r="9" spans="1:15" ht="15" customHeight="1">
      <c r="B9" s="22"/>
      <c r="C9" s="22"/>
      <c r="D9" s="22"/>
      <c r="E9" s="22"/>
      <c r="F9" s="22"/>
      <c r="G9" s="22"/>
      <c r="H9" s="22"/>
      <c r="I9" s="22"/>
      <c r="J9" s="22"/>
      <c r="K9" s="22"/>
      <c r="L9" s="22"/>
      <c r="M9" s="22"/>
      <c r="N9" s="22"/>
      <c r="O9" s="22"/>
    </row>
    <row r="10" spans="1:15" ht="15" customHeight="1">
      <c r="B10" s="22" t="s">
        <v>51</v>
      </c>
      <c r="C10" s="46">
        <f>C8*J7</f>
        <v>287437500</v>
      </c>
      <c r="D10" s="22"/>
      <c r="E10" s="22"/>
      <c r="F10" s="22"/>
      <c r="G10" s="22"/>
      <c r="H10" s="22"/>
      <c r="I10" s="22"/>
      <c r="J10" s="22"/>
      <c r="K10" s="22"/>
      <c r="L10" s="22"/>
      <c r="M10" s="22"/>
      <c r="N10" s="22"/>
      <c r="O10" s="22"/>
    </row>
    <row r="11" spans="1:15" ht="15" customHeight="1">
      <c r="B11" s="22" t="s">
        <v>52</v>
      </c>
      <c r="C11" s="47">
        <v>0</v>
      </c>
      <c r="D11" s="22"/>
      <c r="E11" s="22"/>
      <c r="F11" s="22"/>
      <c r="G11" s="22"/>
      <c r="H11" s="22"/>
      <c r="I11" s="22"/>
      <c r="J11" s="22"/>
      <c r="K11" s="22"/>
      <c r="L11" s="22"/>
      <c r="M11" s="22"/>
      <c r="N11" s="22"/>
      <c r="O11" s="22"/>
    </row>
    <row r="12" spans="1:15" ht="15" customHeight="1">
      <c r="B12" s="58" t="s">
        <v>121</v>
      </c>
      <c r="C12" s="55">
        <f>C10+C11</f>
        <v>287437500</v>
      </c>
      <c r="D12" s="57"/>
      <c r="E12" s="57"/>
      <c r="F12" s="57"/>
      <c r="G12" s="57"/>
      <c r="H12" s="57"/>
      <c r="I12" s="57"/>
      <c r="J12" s="57"/>
      <c r="K12" s="57"/>
      <c r="L12" s="57"/>
      <c r="M12" s="57"/>
      <c r="N12" s="57"/>
      <c r="O12" s="57"/>
    </row>
    <row r="14" spans="1:15" ht="15" customHeight="1">
      <c r="B14" s="22"/>
      <c r="C14" s="21" t="s">
        <v>91</v>
      </c>
      <c r="D14" s="21" t="s">
        <v>92</v>
      </c>
      <c r="E14" s="22"/>
      <c r="F14" s="22"/>
      <c r="G14" s="22"/>
      <c r="H14" s="22"/>
      <c r="I14" s="22"/>
      <c r="J14" s="22"/>
      <c r="K14" s="22"/>
      <c r="L14" s="22"/>
      <c r="M14" s="22"/>
      <c r="N14" s="22"/>
      <c r="O14" s="22"/>
    </row>
    <row r="15" spans="1:15" ht="15" customHeight="1">
      <c r="B15" s="21" t="s">
        <v>13</v>
      </c>
      <c r="C15" s="26">
        <f>SUM(C16:C19)</f>
        <v>36500000</v>
      </c>
      <c r="D15" s="48">
        <f>C15/$C$12</f>
        <v>0.12698412698412698</v>
      </c>
      <c r="E15" s="22"/>
      <c r="F15" s="21" t="s">
        <v>94</v>
      </c>
      <c r="G15" s="22"/>
      <c r="H15" s="22"/>
      <c r="I15" s="22"/>
      <c r="J15" s="22"/>
      <c r="K15" s="22"/>
      <c r="L15" s="22"/>
      <c r="M15" s="22"/>
      <c r="N15" s="80" t="s">
        <v>126</v>
      </c>
      <c r="O15" s="22"/>
    </row>
    <row r="16" spans="1:15" ht="15" customHeight="1">
      <c r="B16" s="49" t="s">
        <v>88</v>
      </c>
      <c r="C16" s="50">
        <f>G42</f>
        <v>20000000</v>
      </c>
      <c r="D16" s="51">
        <f t="shared" ref="D16:D27" si="0">C16/$C$12</f>
        <v>6.9580343552946289E-2</v>
      </c>
      <c r="E16" s="22"/>
      <c r="F16" s="21" t="s">
        <v>95</v>
      </c>
      <c r="G16" s="22"/>
      <c r="H16" s="22"/>
      <c r="I16" s="22"/>
      <c r="J16" s="22"/>
      <c r="K16" s="22"/>
      <c r="L16" s="22"/>
      <c r="M16" s="22"/>
      <c r="N16" s="80" t="s">
        <v>126</v>
      </c>
      <c r="O16" s="22"/>
    </row>
    <row r="17" spans="2:15" ht="15" customHeight="1">
      <c r="B17" s="49" t="s">
        <v>89</v>
      </c>
      <c r="C17" s="50">
        <f>G58</f>
        <v>3500000</v>
      </c>
      <c r="D17" s="51">
        <f t="shared" si="0"/>
        <v>1.2176560121765601E-2</v>
      </c>
      <c r="E17" s="22"/>
      <c r="F17" s="22"/>
      <c r="G17" s="22"/>
      <c r="H17" s="22"/>
      <c r="I17" s="22"/>
      <c r="J17" s="22"/>
      <c r="K17" s="22"/>
      <c r="L17" s="22"/>
      <c r="M17" s="22"/>
      <c r="N17" s="80" t="s">
        <v>126</v>
      </c>
      <c r="O17" s="79" t="s">
        <v>127</v>
      </c>
    </row>
    <row r="18" spans="2:15" ht="15" customHeight="1">
      <c r="B18" s="49" t="s">
        <v>90</v>
      </c>
      <c r="C18" s="50">
        <f>G64</f>
        <v>10000000</v>
      </c>
      <c r="D18" s="51">
        <f t="shared" si="0"/>
        <v>3.4790171776473144E-2</v>
      </c>
      <c r="E18" s="22"/>
      <c r="F18" s="22"/>
      <c r="G18" s="22"/>
      <c r="H18" s="22"/>
      <c r="I18" s="22"/>
      <c r="J18" s="22"/>
      <c r="K18" s="22"/>
      <c r="L18" s="22"/>
      <c r="M18" s="22"/>
      <c r="N18" s="80" t="s">
        <v>126</v>
      </c>
      <c r="O18" s="22"/>
    </row>
    <row r="19" spans="2:15" ht="15" customHeight="1">
      <c r="B19" s="49" t="s">
        <v>96</v>
      </c>
      <c r="C19" s="50">
        <f>IF(I19&gt;0,I19,ROUND(C16*G19,0))</f>
        <v>3000000</v>
      </c>
      <c r="D19" s="51">
        <f t="shared" si="0"/>
        <v>1.0437051532941943E-2</v>
      </c>
      <c r="E19" s="22"/>
      <c r="F19" s="28" t="s">
        <v>106</v>
      </c>
      <c r="G19" s="27">
        <f>'111 LS CS1'!G19</f>
        <v>0.15</v>
      </c>
      <c r="H19" s="28" t="s">
        <v>97</v>
      </c>
      <c r="I19" s="25">
        <f>'111 LS CS1'!I19</f>
        <v>0</v>
      </c>
      <c r="J19" s="22"/>
      <c r="K19" s="22"/>
      <c r="L19" s="22"/>
      <c r="M19" s="22"/>
      <c r="N19" s="80" t="s">
        <v>126</v>
      </c>
      <c r="O19" s="22"/>
    </row>
    <row r="20" spans="2:15" ht="15" customHeight="1">
      <c r="B20" s="21" t="s">
        <v>93</v>
      </c>
      <c r="C20" s="26">
        <f>SUM(C21:C27)</f>
        <v>104408250</v>
      </c>
      <c r="D20" s="48">
        <f>C20/$C$12</f>
        <v>0.36323809523809525</v>
      </c>
      <c r="E20" s="22"/>
      <c r="F20" s="22"/>
      <c r="G20" s="22"/>
      <c r="H20" s="22"/>
      <c r="I20" s="22"/>
      <c r="J20" s="22"/>
      <c r="K20" s="22"/>
      <c r="L20" s="22"/>
      <c r="M20" s="22"/>
      <c r="N20" s="22"/>
      <c r="O20" s="22"/>
    </row>
    <row r="21" spans="2:15" ht="15" customHeight="1">
      <c r="B21" s="83" t="s">
        <v>99</v>
      </c>
      <c r="C21" s="84">
        <f>$J$7*IF(J21&gt;0,J21,G21)</f>
        <v>12181875</v>
      </c>
      <c r="D21" s="85">
        <f t="shared" si="0"/>
        <v>4.238095238095238E-2</v>
      </c>
      <c r="E21" s="86"/>
      <c r="F21" s="90" t="s">
        <v>124</v>
      </c>
      <c r="G21" s="91">
        <f>'101 LS LY'!L21</f>
        <v>445</v>
      </c>
      <c r="H21" s="86" t="s">
        <v>134</v>
      </c>
      <c r="I21" s="92" t="s">
        <v>135</v>
      </c>
      <c r="J21" s="25">
        <f>'111 LS CS1'!J21</f>
        <v>0</v>
      </c>
      <c r="K21" s="86"/>
      <c r="L21" s="86"/>
      <c r="M21" s="86"/>
      <c r="N21" s="79" t="s">
        <v>128</v>
      </c>
      <c r="O21" s="86"/>
    </row>
    <row r="22" spans="2:15" ht="15" customHeight="1">
      <c r="B22" s="83" t="s">
        <v>100</v>
      </c>
      <c r="C22" s="84">
        <f t="shared" ref="C22" si="1">$J$7*IF(J22&gt;0,J22,G22)</f>
        <v>15932250</v>
      </c>
      <c r="D22" s="85">
        <f t="shared" si="0"/>
        <v>5.5428571428571431E-2</v>
      </c>
      <c r="E22" s="86"/>
      <c r="F22" s="90" t="s">
        <v>124</v>
      </c>
      <c r="G22" s="91">
        <f>'101 LS LY'!L22</f>
        <v>582</v>
      </c>
      <c r="H22" s="86" t="s">
        <v>134</v>
      </c>
      <c r="I22" s="93" t="s">
        <v>135</v>
      </c>
      <c r="J22" s="25">
        <f>'111 LS CS1'!J22</f>
        <v>0</v>
      </c>
      <c r="K22" s="86"/>
      <c r="L22" s="86"/>
      <c r="M22" s="86"/>
      <c r="N22" s="79" t="s">
        <v>128</v>
      </c>
      <c r="O22" s="86"/>
    </row>
    <row r="23" spans="2:15" ht="15" customHeight="1">
      <c r="B23" s="83" t="s">
        <v>101</v>
      </c>
      <c r="C23" s="84">
        <f>MAX($J$7,M23)*IF(J23&gt;0,J23,G23)</f>
        <v>22502250</v>
      </c>
      <c r="D23" s="85">
        <f t="shared" si="0"/>
        <v>7.8285714285714292E-2</v>
      </c>
      <c r="E23" s="86"/>
      <c r="F23" s="90" t="s">
        <v>124</v>
      </c>
      <c r="G23" s="91">
        <f>'101 LS LY'!L23</f>
        <v>822</v>
      </c>
      <c r="H23" s="86" t="s">
        <v>134</v>
      </c>
      <c r="I23" s="93" t="s">
        <v>135</v>
      </c>
      <c r="J23" s="25">
        <f>'111 LS CS1'!J23</f>
        <v>0</v>
      </c>
      <c r="K23" s="87" t="s">
        <v>143</v>
      </c>
      <c r="L23" s="27">
        <f>'111 LS CS1'!L23</f>
        <v>0.4</v>
      </c>
      <c r="M23" s="95">
        <f>C6*G7*L23</f>
        <v>14600</v>
      </c>
      <c r="N23" s="79" t="s">
        <v>128</v>
      </c>
      <c r="O23" s="86"/>
    </row>
    <row r="24" spans="2:15" ht="15" customHeight="1">
      <c r="B24" s="83" t="s">
        <v>102</v>
      </c>
      <c r="C24" s="84">
        <f>G70</f>
        <v>31618125</v>
      </c>
      <c r="D24" s="85">
        <f t="shared" si="0"/>
        <v>0.11</v>
      </c>
      <c r="E24" s="86"/>
      <c r="F24" s="90" t="s">
        <v>124</v>
      </c>
      <c r="G24" s="91">
        <f>'101 LS LY'!L24</f>
        <v>1100</v>
      </c>
      <c r="H24" s="86" t="s">
        <v>134</v>
      </c>
      <c r="I24" s="94" t="s">
        <v>136</v>
      </c>
      <c r="J24" s="94"/>
      <c r="K24" s="86"/>
      <c r="L24" s="86"/>
      <c r="M24" s="86"/>
      <c r="N24" s="78" t="s">
        <v>129</v>
      </c>
      <c r="O24" s="86"/>
    </row>
    <row r="25" spans="2:15" ht="15" customHeight="1">
      <c r="B25" s="49" t="s">
        <v>103</v>
      </c>
      <c r="C25" s="50">
        <f>$J$7*IF(J25&gt;0,J25,G25)</f>
        <v>16425000</v>
      </c>
      <c r="D25" s="51">
        <f t="shared" si="0"/>
        <v>5.7142857142857141E-2</v>
      </c>
      <c r="E25" s="22"/>
      <c r="F25" s="22"/>
      <c r="G25" s="63">
        <f>'101 LS LY'!L25</f>
        <v>600</v>
      </c>
      <c r="H25" s="22" t="s">
        <v>134</v>
      </c>
      <c r="I25" s="92" t="s">
        <v>135</v>
      </c>
      <c r="J25" s="25">
        <f>'111 LS CS1'!J25</f>
        <v>0</v>
      </c>
      <c r="K25" s="22"/>
      <c r="L25" s="22"/>
      <c r="M25" s="22"/>
      <c r="N25" s="79" t="s">
        <v>128</v>
      </c>
      <c r="O25" s="22"/>
    </row>
    <row r="26" spans="2:15" ht="15" customHeight="1">
      <c r="B26" s="49" t="s">
        <v>104</v>
      </c>
      <c r="C26" s="50">
        <f>IF(I26&gt;0,I26,ROUND($C$12*G26,0))</f>
        <v>2874375</v>
      </c>
      <c r="D26" s="51">
        <f t="shared" si="0"/>
        <v>0.01</v>
      </c>
      <c r="E26" s="22"/>
      <c r="F26" s="114" t="s">
        <v>107</v>
      </c>
      <c r="G26" s="27">
        <f>'111 LS CS1'!G26</f>
        <v>0.01</v>
      </c>
      <c r="H26" s="114" t="s">
        <v>97</v>
      </c>
      <c r="I26" s="25">
        <f>'111 LS CS1'!I26</f>
        <v>0</v>
      </c>
      <c r="J26" s="22"/>
      <c r="K26" s="22"/>
      <c r="L26" s="22"/>
      <c r="M26" s="22"/>
      <c r="N26" s="78" t="s">
        <v>129</v>
      </c>
      <c r="O26" s="22"/>
    </row>
    <row r="27" spans="2:15" ht="15" customHeight="1">
      <c r="B27" s="49" t="s">
        <v>105</v>
      </c>
      <c r="C27" s="50">
        <f t="shared" ref="C27" si="2">IF(I27&gt;0,I27,ROUND($C$12*G27,0))</f>
        <v>2874375</v>
      </c>
      <c r="D27" s="51">
        <f t="shared" si="0"/>
        <v>0.01</v>
      </c>
      <c r="E27" s="22"/>
      <c r="F27" s="53" t="s">
        <v>107</v>
      </c>
      <c r="G27" s="27">
        <f>'111 LS CS1'!G27</f>
        <v>0.01</v>
      </c>
      <c r="H27" s="53" t="s">
        <v>97</v>
      </c>
      <c r="I27" s="25">
        <f>'111 LS CS1'!I27</f>
        <v>0</v>
      </c>
      <c r="J27" s="22"/>
      <c r="K27" s="22"/>
      <c r="L27" s="22"/>
      <c r="M27" s="22"/>
      <c r="N27" s="78" t="s">
        <v>129</v>
      </c>
      <c r="O27" s="22"/>
    </row>
    <row r="28" spans="2:15" ht="15" customHeight="1">
      <c r="B28" s="22"/>
      <c r="C28" s="22"/>
      <c r="D28" s="22"/>
      <c r="E28" s="22"/>
      <c r="F28" s="22"/>
      <c r="G28" s="22"/>
      <c r="H28" s="22"/>
      <c r="I28" s="22"/>
      <c r="J28" s="22"/>
      <c r="K28" s="22"/>
      <c r="L28" s="22"/>
      <c r="M28" s="22"/>
      <c r="N28" s="22"/>
      <c r="O28" s="22"/>
    </row>
    <row r="29" spans="2:15" ht="15" customHeight="1">
      <c r="B29" s="54" t="s">
        <v>112</v>
      </c>
      <c r="C29" s="55">
        <f>C12-SUM(C15,C20)</f>
        <v>146529250</v>
      </c>
      <c r="D29" s="56">
        <f>C29/$C$12</f>
        <v>0.50977777777777777</v>
      </c>
      <c r="E29" s="57"/>
      <c r="F29" s="57"/>
      <c r="G29" s="57"/>
      <c r="H29" s="57"/>
      <c r="I29" s="57"/>
      <c r="J29" s="57"/>
      <c r="K29" s="57"/>
      <c r="L29" s="57"/>
      <c r="M29" s="57"/>
      <c r="N29" s="57"/>
      <c r="O29" s="57"/>
    </row>
    <row r="30" spans="2:15" ht="15" customHeight="1">
      <c r="C30" s="12">
        <f>C29-Summary!C28</f>
        <v>509250</v>
      </c>
    </row>
    <row r="31" spans="2:15" ht="15" customHeight="1">
      <c r="B31" s="21" t="s">
        <v>113</v>
      </c>
      <c r="C31" s="26">
        <f>$C$12*G31</f>
        <v>0</v>
      </c>
      <c r="D31" s="48">
        <f>C31/$C$12</f>
        <v>0</v>
      </c>
      <c r="E31" s="22"/>
      <c r="F31" s="28" t="s">
        <v>107</v>
      </c>
      <c r="G31" s="27">
        <f>'111 LS CS1'!G31</f>
        <v>0</v>
      </c>
      <c r="H31" s="22"/>
      <c r="I31" s="22"/>
      <c r="J31" s="28" t="s">
        <v>130</v>
      </c>
      <c r="K31" s="153" t="str">
        <f>'111 LS CS1'!K31</f>
        <v>-</v>
      </c>
      <c r="L31" s="153"/>
      <c r="M31" s="153"/>
      <c r="N31" s="78" t="s">
        <v>129</v>
      </c>
      <c r="O31" s="22"/>
    </row>
    <row r="32" spans="2:15" ht="15" customHeight="1">
      <c r="B32" s="21" t="s">
        <v>114</v>
      </c>
      <c r="C32" s="26">
        <f t="shared" ref="C32:C33" si="3">$C$12*G32</f>
        <v>0</v>
      </c>
      <c r="D32" s="48">
        <f t="shared" ref="D32:D36" si="4">C32/$C$12</f>
        <v>0</v>
      </c>
      <c r="E32" s="22"/>
      <c r="F32" s="52" t="s">
        <v>107</v>
      </c>
      <c r="G32" s="27">
        <f>'111 LS CS1'!G32</f>
        <v>0</v>
      </c>
      <c r="H32" s="22"/>
      <c r="I32" s="22"/>
      <c r="J32" s="52" t="s">
        <v>131</v>
      </c>
      <c r="K32" s="153" t="str">
        <f>'111 LS CS1'!K32</f>
        <v>-</v>
      </c>
      <c r="L32" s="153"/>
      <c r="M32" s="153"/>
      <c r="N32" s="78" t="s">
        <v>129</v>
      </c>
      <c r="O32" s="22"/>
    </row>
    <row r="33" spans="2:15" ht="15" customHeight="1">
      <c r="B33" s="21" t="s">
        <v>115</v>
      </c>
      <c r="C33" s="26">
        <f t="shared" si="3"/>
        <v>0</v>
      </c>
      <c r="D33" s="48">
        <f t="shared" si="4"/>
        <v>0</v>
      </c>
      <c r="E33" s="22"/>
      <c r="F33" s="53" t="s">
        <v>107</v>
      </c>
      <c r="G33" s="27">
        <f>'111 LS CS1'!G33</f>
        <v>0</v>
      </c>
      <c r="H33" s="22"/>
      <c r="I33" s="22"/>
      <c r="J33" s="52" t="s">
        <v>131</v>
      </c>
      <c r="K33" s="153" t="str">
        <f>'111 LS CS1'!K33</f>
        <v>-</v>
      </c>
      <c r="L33" s="153"/>
      <c r="M33" s="153"/>
      <c r="N33" s="78" t="s">
        <v>129</v>
      </c>
      <c r="O33" s="22"/>
    </row>
    <row r="34" spans="2:15" ht="15" customHeight="1">
      <c r="B34" s="21" t="s">
        <v>116</v>
      </c>
      <c r="C34" s="26">
        <f>I34</f>
        <v>0</v>
      </c>
      <c r="D34" s="48">
        <f t="shared" si="4"/>
        <v>0</v>
      </c>
      <c r="E34" s="22"/>
      <c r="F34" s="22"/>
      <c r="G34" s="22"/>
      <c r="H34" s="28" t="s">
        <v>119</v>
      </c>
      <c r="I34" s="25">
        <f>'111 LS CS1'!I34</f>
        <v>0</v>
      </c>
      <c r="J34" s="52" t="s">
        <v>131</v>
      </c>
      <c r="K34" s="153" t="str">
        <f>'111 LS CS1'!K34</f>
        <v>-</v>
      </c>
      <c r="L34" s="153"/>
      <c r="M34" s="153"/>
      <c r="N34" s="80" t="s">
        <v>126</v>
      </c>
      <c r="O34" s="22"/>
    </row>
    <row r="35" spans="2:15" ht="15" customHeight="1">
      <c r="B35" s="21" t="s">
        <v>117</v>
      </c>
      <c r="C35" s="26">
        <f t="shared" ref="C35:C36" si="5">I35</f>
        <v>0</v>
      </c>
      <c r="D35" s="48">
        <f t="shared" si="4"/>
        <v>0</v>
      </c>
      <c r="E35" s="22"/>
      <c r="F35" s="22"/>
      <c r="G35" s="22"/>
      <c r="H35" s="52" t="s">
        <v>119</v>
      </c>
      <c r="I35" s="25">
        <f>'111 LS CS1'!I35</f>
        <v>0</v>
      </c>
      <c r="J35" s="52" t="s">
        <v>131</v>
      </c>
      <c r="K35" s="153" t="str">
        <f>'111 LS CS1'!K35</f>
        <v>-</v>
      </c>
      <c r="L35" s="153"/>
      <c r="M35" s="153"/>
      <c r="N35" s="80" t="s">
        <v>126</v>
      </c>
      <c r="O35" s="22"/>
    </row>
    <row r="36" spans="2:15" ht="15" customHeight="1">
      <c r="B36" s="21" t="s">
        <v>118</v>
      </c>
      <c r="C36" s="26">
        <f t="shared" si="5"/>
        <v>0</v>
      </c>
      <c r="D36" s="48">
        <f t="shared" si="4"/>
        <v>0</v>
      </c>
      <c r="E36" s="22"/>
      <c r="F36" s="22"/>
      <c r="G36" s="22"/>
      <c r="H36" s="53" t="s">
        <v>119</v>
      </c>
      <c r="I36" s="25">
        <f>'111 LS CS1'!I36</f>
        <v>0</v>
      </c>
      <c r="J36" s="52" t="s">
        <v>131</v>
      </c>
      <c r="K36" s="153" t="str">
        <f>'111 LS CS1'!K36</f>
        <v>-</v>
      </c>
      <c r="L36" s="153"/>
      <c r="M36" s="153"/>
      <c r="N36" s="80" t="s">
        <v>126</v>
      </c>
      <c r="O36" s="22"/>
    </row>
    <row r="38" spans="2:15" ht="15" customHeight="1">
      <c r="B38" s="54" t="s">
        <v>120</v>
      </c>
      <c r="C38" s="55">
        <f>C29-SUM(C31:C36)</f>
        <v>146529250</v>
      </c>
      <c r="D38" s="56">
        <f>C38/$C$12</f>
        <v>0.50977777777777777</v>
      </c>
      <c r="E38" s="57"/>
      <c r="F38" s="57"/>
      <c r="G38" s="57"/>
      <c r="H38" s="57"/>
      <c r="I38" s="57"/>
      <c r="J38" s="57"/>
      <c r="K38" s="57"/>
      <c r="L38" s="57"/>
      <c r="M38" s="57"/>
      <c r="N38" s="57"/>
      <c r="O38" s="57"/>
    </row>
    <row r="42" spans="2:15" ht="15" customHeight="1">
      <c r="B42" s="73" t="s">
        <v>78</v>
      </c>
      <c r="C42" s="21" t="s">
        <v>80</v>
      </c>
      <c r="D42" s="22"/>
      <c r="E42" s="22"/>
      <c r="F42" s="62">
        <f>'111 LS CS1'!F42</f>
        <v>1</v>
      </c>
      <c r="G42" s="63">
        <f>VLOOKUP(F42,C44:J46,8,FALSE)</f>
        <v>20000000</v>
      </c>
      <c r="H42" s="22"/>
      <c r="I42" s="64" t="s">
        <v>98</v>
      </c>
      <c r="J42" s="22"/>
      <c r="K42" s="22"/>
      <c r="L42" s="22"/>
      <c r="M42" s="22"/>
      <c r="N42" s="22"/>
      <c r="O42" s="22"/>
    </row>
    <row r="43" spans="2:15" ht="15" customHeight="1">
      <c r="B43" s="32"/>
      <c r="C43" s="22"/>
      <c r="D43" s="22"/>
      <c r="E43" s="22"/>
      <c r="F43" s="22"/>
      <c r="G43" s="22"/>
      <c r="H43" s="22"/>
      <c r="I43" s="22"/>
      <c r="J43" s="22"/>
      <c r="K43" s="22"/>
      <c r="L43" s="22"/>
      <c r="M43" s="22"/>
      <c r="N43" s="22"/>
      <c r="O43" s="22"/>
    </row>
    <row r="44" spans="2:15" ht="15" customHeight="1">
      <c r="B44" s="32"/>
      <c r="C44" s="22">
        <v>1</v>
      </c>
      <c r="D44" s="22" t="s">
        <v>53</v>
      </c>
      <c r="E44" s="22"/>
      <c r="F44" s="25">
        <f>'111 LS CS1'!F44</f>
        <v>20000000</v>
      </c>
      <c r="G44" s="22"/>
      <c r="H44" s="22"/>
      <c r="I44" s="22"/>
      <c r="J44" s="65">
        <f>F44</f>
        <v>20000000</v>
      </c>
      <c r="K44" s="22"/>
      <c r="L44" s="22"/>
      <c r="M44" s="22"/>
      <c r="N44" s="22"/>
      <c r="O44" s="22"/>
    </row>
    <row r="45" spans="2:15" ht="15" customHeight="1">
      <c r="B45" s="32"/>
      <c r="C45" s="22">
        <v>2</v>
      </c>
      <c r="D45" s="22" t="s">
        <v>54</v>
      </c>
      <c r="E45" s="22"/>
      <c r="F45" s="27">
        <f>'111 LS CS1'!F45</f>
        <v>0.1</v>
      </c>
      <c r="G45" s="22"/>
      <c r="H45" s="22"/>
      <c r="I45" s="22"/>
      <c r="J45" s="65">
        <f>ROUND(F45*C12,0)</f>
        <v>28743750</v>
      </c>
      <c r="K45" s="22"/>
      <c r="L45" s="22"/>
      <c r="M45" s="22"/>
      <c r="N45" s="22"/>
      <c r="O45" s="22"/>
    </row>
    <row r="46" spans="2:15" ht="15" customHeight="1">
      <c r="B46" s="32"/>
      <c r="C46" s="22">
        <v>3</v>
      </c>
      <c r="D46" s="22" t="s">
        <v>55</v>
      </c>
      <c r="E46" s="22"/>
      <c r="F46" s="22"/>
      <c r="G46" s="22"/>
      <c r="H46" s="28" t="s">
        <v>40</v>
      </c>
      <c r="I46" s="66">
        <f>I51+I56/'101 LS LY'!N53</f>
        <v>10</v>
      </c>
      <c r="J46" s="67">
        <f>SUM(J47:J55)</f>
        <v>29970000</v>
      </c>
      <c r="K46" s="22"/>
      <c r="L46" s="22"/>
      <c r="M46" s="22"/>
      <c r="N46" s="22"/>
      <c r="O46" s="22"/>
    </row>
    <row r="47" spans="2:15" ht="15" customHeight="1">
      <c r="B47" s="32"/>
      <c r="C47" s="22"/>
      <c r="D47" s="22"/>
      <c r="E47" s="22" t="s">
        <v>57</v>
      </c>
      <c r="F47" s="30" t="s">
        <v>58</v>
      </c>
      <c r="G47" s="25">
        <f>'111 LS CS1'!G47</f>
        <v>0</v>
      </c>
      <c r="H47" s="30" t="s">
        <v>59</v>
      </c>
      <c r="I47" s="24">
        <f>'111 LS CS1'!I47</f>
        <v>1</v>
      </c>
      <c r="J47" s="68">
        <f>G47*I47</f>
        <v>0</v>
      </c>
      <c r="K47" s="22"/>
      <c r="L47" s="22"/>
      <c r="M47" s="22"/>
      <c r="N47" s="22"/>
      <c r="O47" s="22"/>
    </row>
    <row r="48" spans="2:15" ht="15" customHeight="1">
      <c r="B48" s="32"/>
      <c r="C48" s="22"/>
      <c r="D48" s="22"/>
      <c r="E48" s="22" t="s">
        <v>60</v>
      </c>
      <c r="F48" s="69" t="s">
        <v>109</v>
      </c>
      <c r="G48" s="25">
        <f>'111 LS CS1'!G48</f>
        <v>0</v>
      </c>
      <c r="H48" s="69" t="s">
        <v>108</v>
      </c>
      <c r="I48" s="24">
        <f>'111 LS CS1'!I48</f>
        <v>0</v>
      </c>
      <c r="J48" s="68">
        <f t="shared" ref="J48:J49" si="6">G48*I48</f>
        <v>0</v>
      </c>
      <c r="K48" s="22"/>
      <c r="L48" s="22"/>
      <c r="M48" s="22"/>
      <c r="N48" s="22"/>
      <c r="O48" s="22"/>
    </row>
    <row r="49" spans="2:15" ht="15" customHeight="1">
      <c r="B49" s="32"/>
      <c r="C49" s="22"/>
      <c r="D49" s="22"/>
      <c r="E49" s="22" t="s">
        <v>62</v>
      </c>
      <c r="F49" s="69" t="s">
        <v>109</v>
      </c>
      <c r="G49" s="25">
        <f>'111 LS CS1'!G49</f>
        <v>0</v>
      </c>
      <c r="H49" s="69" t="s">
        <v>108</v>
      </c>
      <c r="I49" s="24">
        <f>'111 LS CS1'!I49</f>
        <v>0</v>
      </c>
      <c r="J49" s="68">
        <f t="shared" si="6"/>
        <v>0</v>
      </c>
      <c r="K49" s="22"/>
      <c r="L49" s="22"/>
      <c r="M49" s="22"/>
      <c r="N49" s="22"/>
      <c r="O49" s="22"/>
    </row>
    <row r="50" spans="2:15" ht="15" customHeight="1">
      <c r="B50" s="32"/>
      <c r="C50" s="22"/>
      <c r="D50" s="22"/>
      <c r="E50" s="22" t="s">
        <v>63</v>
      </c>
      <c r="F50" s="69" t="s">
        <v>109</v>
      </c>
      <c r="G50" s="25">
        <f>'111 LS CS1'!G50</f>
        <v>3330000</v>
      </c>
      <c r="H50" s="69" t="s">
        <v>108</v>
      </c>
      <c r="I50" s="24">
        <f>'111 LS CS1'!I50</f>
        <v>9</v>
      </c>
      <c r="J50" s="68">
        <f>G50*I50</f>
        <v>29970000</v>
      </c>
      <c r="K50" s="22"/>
      <c r="L50" s="22"/>
      <c r="M50" s="22"/>
      <c r="N50" s="22"/>
      <c r="O50" s="22"/>
    </row>
    <row r="51" spans="2:15" ht="15" customHeight="1">
      <c r="B51" s="32"/>
      <c r="C51" s="22"/>
      <c r="D51" s="22"/>
      <c r="E51" s="22"/>
      <c r="F51" s="22"/>
      <c r="G51" s="70"/>
      <c r="H51" s="30" t="s">
        <v>64</v>
      </c>
      <c r="I51" s="71">
        <f>SUM(I47:I50)</f>
        <v>10</v>
      </c>
      <c r="J51" s="72" t="s">
        <v>76</v>
      </c>
      <c r="K51" s="22"/>
      <c r="L51" s="22"/>
      <c r="M51" s="22"/>
      <c r="N51" s="22"/>
      <c r="O51" s="22"/>
    </row>
    <row r="52" spans="2:15" ht="15" customHeight="1">
      <c r="B52" s="32"/>
      <c r="C52" s="22"/>
      <c r="D52" s="22"/>
      <c r="E52" s="22" t="s">
        <v>65</v>
      </c>
      <c r="F52" s="30" t="s">
        <v>66</v>
      </c>
      <c r="G52" s="25">
        <f>'111 LS CS1'!G52</f>
        <v>0</v>
      </c>
      <c r="H52" s="30" t="s">
        <v>67</v>
      </c>
      <c r="I52" s="24">
        <f>'111 LS CS1'!I52</f>
        <v>0</v>
      </c>
      <c r="J52" s="68">
        <f>G52*I52</f>
        <v>0</v>
      </c>
      <c r="K52" s="22"/>
      <c r="L52" s="22"/>
      <c r="M52" s="22"/>
      <c r="N52" s="22"/>
      <c r="O52" s="22"/>
    </row>
    <row r="53" spans="2:15" ht="15" customHeight="1">
      <c r="B53" s="32"/>
      <c r="C53" s="22"/>
      <c r="D53" s="22"/>
      <c r="E53" s="22" t="s">
        <v>68</v>
      </c>
      <c r="F53" s="69" t="s">
        <v>110</v>
      </c>
      <c r="G53" s="25">
        <f>'111 LS CS1'!G53</f>
        <v>0</v>
      </c>
      <c r="H53" s="69" t="s">
        <v>111</v>
      </c>
      <c r="I53" s="24">
        <f>'111 LS CS1'!I53</f>
        <v>0</v>
      </c>
      <c r="J53" s="68">
        <f>G53*I53</f>
        <v>0</v>
      </c>
      <c r="K53" s="22"/>
      <c r="L53" s="22"/>
      <c r="M53" s="22"/>
      <c r="N53" s="22"/>
      <c r="O53" s="22"/>
    </row>
    <row r="54" spans="2:15" ht="15" customHeight="1">
      <c r="B54" s="32"/>
      <c r="C54" s="22"/>
      <c r="D54" s="22"/>
      <c r="E54" s="22" t="s">
        <v>72</v>
      </c>
      <c r="F54" s="69" t="s">
        <v>110</v>
      </c>
      <c r="G54" s="25">
        <f>'111 LS CS1'!G54</f>
        <v>0</v>
      </c>
      <c r="H54" s="69" t="s">
        <v>111</v>
      </c>
      <c r="I54" s="24">
        <f>'111 LS CS1'!I54</f>
        <v>0</v>
      </c>
      <c r="J54" s="68">
        <f>G54*I54</f>
        <v>0</v>
      </c>
      <c r="K54" s="22"/>
      <c r="L54" s="22"/>
      <c r="M54" s="22"/>
      <c r="N54" s="22"/>
      <c r="O54" s="22"/>
    </row>
    <row r="55" spans="2:15" ht="15" customHeight="1">
      <c r="B55" s="32"/>
      <c r="C55" s="22"/>
      <c r="D55" s="22"/>
      <c r="E55" s="22" t="s">
        <v>73</v>
      </c>
      <c r="F55" s="69" t="s">
        <v>110</v>
      </c>
      <c r="G55" s="25">
        <f>'111 LS CS1'!G55</f>
        <v>0</v>
      </c>
      <c r="H55" s="69" t="s">
        <v>111</v>
      </c>
      <c r="I55" s="24">
        <f>'111 LS CS1'!I55</f>
        <v>0</v>
      </c>
      <c r="J55" s="68">
        <f>G55*I55</f>
        <v>0</v>
      </c>
      <c r="K55" s="22"/>
      <c r="L55" s="22"/>
      <c r="M55" s="22"/>
      <c r="N55" s="22"/>
      <c r="O55" s="22"/>
    </row>
    <row r="56" spans="2:15" ht="15" customHeight="1">
      <c r="B56" s="74"/>
      <c r="C56" s="22"/>
      <c r="D56" s="22"/>
      <c r="E56" s="22"/>
      <c r="F56" s="22"/>
      <c r="G56" s="22"/>
      <c r="H56" s="30" t="s">
        <v>64</v>
      </c>
      <c r="I56" s="71">
        <f>SUM(I52:I55)</f>
        <v>0</v>
      </c>
      <c r="J56" s="72" t="s">
        <v>77</v>
      </c>
      <c r="K56" s="22"/>
      <c r="L56" s="74"/>
      <c r="M56" s="74"/>
      <c r="N56" s="74"/>
      <c r="O56" s="74"/>
    </row>
    <row r="58" spans="2:15" ht="15" customHeight="1">
      <c r="B58" s="73" t="s">
        <v>79</v>
      </c>
      <c r="C58" s="21" t="s">
        <v>80</v>
      </c>
      <c r="D58" s="22"/>
      <c r="E58" s="22"/>
      <c r="F58" s="62">
        <f>'111 LS CS1'!F58</f>
        <v>1</v>
      </c>
      <c r="G58" s="63">
        <f>VLOOKUP(F58,C60:N62,12,FALSE)</f>
        <v>3500000</v>
      </c>
      <c r="H58" s="22"/>
      <c r="I58" s="64" t="s">
        <v>81</v>
      </c>
      <c r="J58" s="22"/>
      <c r="K58" s="22"/>
      <c r="L58" s="22"/>
      <c r="M58" s="22"/>
      <c r="N58" s="22"/>
      <c r="O58" s="22"/>
    </row>
    <row r="59" spans="2:15" ht="15" customHeight="1">
      <c r="B59" s="32"/>
      <c r="C59" s="22"/>
      <c r="D59" s="22"/>
      <c r="E59" s="22"/>
      <c r="F59" s="22"/>
      <c r="G59" s="22"/>
      <c r="H59" s="22"/>
      <c r="I59" s="22"/>
      <c r="J59" s="22"/>
      <c r="K59" s="22"/>
      <c r="L59" s="22"/>
      <c r="M59" s="22"/>
      <c r="N59" s="22"/>
      <c r="O59" s="22"/>
    </row>
    <row r="60" spans="2:15" ht="15" customHeight="1">
      <c r="B60" s="32"/>
      <c r="C60" s="22">
        <v>1</v>
      </c>
      <c r="D60" s="22" t="s">
        <v>53</v>
      </c>
      <c r="E60" s="22"/>
      <c r="F60" s="22"/>
      <c r="G60" s="25">
        <f>'111 LS CS1'!G60</f>
        <v>3500000</v>
      </c>
      <c r="H60" s="22"/>
      <c r="I60" s="22"/>
      <c r="J60" s="22"/>
      <c r="K60" s="22"/>
      <c r="L60" s="22"/>
      <c r="M60" s="22"/>
      <c r="N60" s="65">
        <f>G60</f>
        <v>3500000</v>
      </c>
      <c r="O60" s="22"/>
    </row>
    <row r="61" spans="2:15" ht="15" customHeight="1">
      <c r="B61" s="32"/>
      <c r="C61" s="22">
        <v>2</v>
      </c>
      <c r="D61" s="22" t="s">
        <v>54</v>
      </c>
      <c r="E61" s="22"/>
      <c r="F61" s="22"/>
      <c r="G61" s="27">
        <f>'111 LS CS1'!G61</f>
        <v>1.2E-2</v>
      </c>
      <c r="H61" s="22"/>
      <c r="I61" s="22"/>
      <c r="J61" s="22"/>
      <c r="K61" s="22"/>
      <c r="L61" s="22"/>
      <c r="M61" s="22"/>
      <c r="N61" s="65">
        <f>ROUND(G61*C12,0)</f>
        <v>3449250</v>
      </c>
      <c r="O61" s="22"/>
    </row>
    <row r="62" spans="2:15" ht="15" customHeight="1">
      <c r="B62" s="74"/>
      <c r="C62" s="22">
        <v>3</v>
      </c>
      <c r="D62" s="21" t="s">
        <v>82</v>
      </c>
      <c r="E62" s="22"/>
      <c r="F62" s="28" t="s">
        <v>83</v>
      </c>
      <c r="G62" s="25">
        <f>'111 LS CS1'!G62</f>
        <v>2500</v>
      </c>
      <c r="H62" s="28" t="s">
        <v>84</v>
      </c>
      <c r="I62" s="24">
        <f>'111 LS CS1'!I62</f>
        <v>1</v>
      </c>
      <c r="J62" s="28" t="s">
        <v>85</v>
      </c>
      <c r="K62" s="24">
        <f>'111 LS CS1'!K62</f>
        <v>150</v>
      </c>
      <c r="L62" s="28" t="s">
        <v>86</v>
      </c>
      <c r="M62" s="24">
        <f>'111 LS CS1'!M62</f>
        <v>12</v>
      </c>
      <c r="N62" s="65">
        <f>G62*I62*K62*M62</f>
        <v>4500000</v>
      </c>
      <c r="O62" s="22"/>
    </row>
    <row r="64" spans="2:15" ht="15" customHeight="1">
      <c r="B64" s="73" t="s">
        <v>87</v>
      </c>
      <c r="C64" s="21" t="s">
        <v>80</v>
      </c>
      <c r="D64" s="22"/>
      <c r="E64" s="22"/>
      <c r="F64" s="62">
        <f>'111 LS CS1'!F64</f>
        <v>1</v>
      </c>
      <c r="G64" s="63">
        <f>VLOOKUP(F64,C66:N68,12,FALSE)</f>
        <v>10000000</v>
      </c>
      <c r="H64" s="22"/>
      <c r="I64" s="64" t="s">
        <v>81</v>
      </c>
      <c r="J64" s="22"/>
      <c r="K64" s="22"/>
      <c r="L64" s="22"/>
      <c r="M64" s="22"/>
      <c r="N64" s="22"/>
      <c r="O64" s="22"/>
    </row>
    <row r="65" spans="2:15" ht="15" customHeight="1">
      <c r="B65" s="32"/>
      <c r="C65" s="22"/>
      <c r="D65" s="22"/>
      <c r="E65" s="22"/>
      <c r="F65" s="22"/>
      <c r="G65" s="22"/>
      <c r="H65" s="22"/>
      <c r="I65" s="22"/>
      <c r="J65" s="22"/>
      <c r="K65" s="22"/>
      <c r="L65" s="22"/>
      <c r="M65" s="22"/>
      <c r="N65" s="22"/>
      <c r="O65" s="22"/>
    </row>
    <row r="66" spans="2:15" ht="15" customHeight="1">
      <c r="B66" s="32"/>
      <c r="C66" s="22">
        <v>1</v>
      </c>
      <c r="D66" s="22" t="s">
        <v>53</v>
      </c>
      <c r="E66" s="22"/>
      <c r="F66" s="22"/>
      <c r="G66" s="25">
        <f>'111 LS CS1'!G66</f>
        <v>10000000</v>
      </c>
      <c r="H66" s="22"/>
      <c r="I66" s="22"/>
      <c r="J66" s="22"/>
      <c r="K66" s="22"/>
      <c r="L66" s="22"/>
      <c r="M66" s="22"/>
      <c r="N66" s="65">
        <f>G66</f>
        <v>10000000</v>
      </c>
      <c r="O66" s="22"/>
    </row>
    <row r="67" spans="2:15" ht="15" customHeight="1">
      <c r="B67" s="32"/>
      <c r="C67" s="22">
        <v>2</v>
      </c>
      <c r="D67" s="22" t="s">
        <v>54</v>
      </c>
      <c r="E67" s="22"/>
      <c r="F67" s="22"/>
      <c r="G67" s="27">
        <f>'111 LS CS1'!G67</f>
        <v>3.5000000000000003E-2</v>
      </c>
      <c r="H67" s="22"/>
      <c r="I67" s="22"/>
      <c r="J67" s="22"/>
      <c r="K67" s="22"/>
      <c r="L67" s="22"/>
      <c r="M67" s="22"/>
      <c r="N67" s="65">
        <f>ROUND(G67*C12,0)</f>
        <v>10060313</v>
      </c>
      <c r="O67" s="22"/>
    </row>
    <row r="68" spans="2:15" ht="15" customHeight="1">
      <c r="B68" s="74"/>
      <c r="C68" s="22">
        <v>3</v>
      </c>
      <c r="D68" s="21" t="s">
        <v>82</v>
      </c>
      <c r="E68" s="22"/>
      <c r="F68" s="28" t="s">
        <v>83</v>
      </c>
      <c r="G68" s="25">
        <f>'111 LS CS1'!G68</f>
        <v>2500</v>
      </c>
      <c r="H68" s="28" t="s">
        <v>84</v>
      </c>
      <c r="I68" s="24">
        <f>'111 LS CS1'!I68</f>
        <v>7</v>
      </c>
      <c r="J68" s="28" t="s">
        <v>85</v>
      </c>
      <c r="K68" s="24">
        <f>'111 LS CS1'!K68</f>
        <v>365</v>
      </c>
      <c r="L68" s="28" t="s">
        <v>86</v>
      </c>
      <c r="M68" s="24">
        <f>'111 LS CS1'!M68</f>
        <v>2</v>
      </c>
      <c r="N68" s="65">
        <f>G68*I68*K68*M68</f>
        <v>12775000</v>
      </c>
      <c r="O68" s="22"/>
    </row>
    <row r="70" spans="2:15" ht="15" customHeight="1">
      <c r="B70" s="73" t="s">
        <v>137</v>
      </c>
      <c r="C70" s="21" t="s">
        <v>140</v>
      </c>
      <c r="D70" s="22"/>
      <c r="E70" s="22"/>
      <c r="F70" s="62">
        <v>1</v>
      </c>
      <c r="G70" s="63">
        <f>VLOOKUP(F70,C72:N73,12,FALSE)</f>
        <v>31618125</v>
      </c>
      <c r="H70" s="22"/>
      <c r="I70" s="64" t="s">
        <v>81</v>
      </c>
      <c r="J70" s="22"/>
      <c r="K70" s="22"/>
      <c r="L70" s="22"/>
      <c r="M70" s="22"/>
      <c r="N70" s="22"/>
      <c r="O70" s="22"/>
    </row>
    <row r="71" spans="2:15" ht="15" customHeight="1">
      <c r="B71" s="32"/>
      <c r="C71" s="22"/>
      <c r="D71" s="22"/>
      <c r="E71" s="22"/>
      <c r="F71" s="22"/>
      <c r="G71" s="22"/>
      <c r="H71" s="22"/>
      <c r="I71" s="22"/>
      <c r="J71" s="22"/>
      <c r="K71" s="22"/>
      <c r="L71" s="22"/>
      <c r="M71" s="22"/>
      <c r="N71" s="22"/>
      <c r="O71" s="22"/>
    </row>
    <row r="72" spans="2:15" ht="15" customHeight="1">
      <c r="B72" s="32"/>
      <c r="C72" s="22">
        <v>1</v>
      </c>
      <c r="D72" s="21" t="s">
        <v>138</v>
      </c>
      <c r="E72" s="22"/>
      <c r="F72" s="22"/>
      <c r="G72" s="48">
        <f>'101 LS LY'!D24</f>
        <v>0.11</v>
      </c>
      <c r="H72" s="22"/>
      <c r="I72" s="22"/>
      <c r="J72" s="22"/>
      <c r="K72" s="22"/>
      <c r="L72" s="22"/>
      <c r="M72" s="22"/>
      <c r="N72" s="65">
        <f>G72*C12</f>
        <v>31618125</v>
      </c>
      <c r="O72" s="113">
        <f>N72/$C$10</f>
        <v>0.11</v>
      </c>
    </row>
    <row r="73" spans="2:15" ht="15" customHeight="1">
      <c r="B73" s="32"/>
      <c r="C73" s="75">
        <v>2</v>
      </c>
      <c r="D73" s="73" t="s">
        <v>141</v>
      </c>
      <c r="E73" s="75"/>
      <c r="F73" s="1" t="s">
        <v>144</v>
      </c>
      <c r="G73" s="103" t="s">
        <v>167</v>
      </c>
      <c r="H73" s="28" t="s">
        <v>145</v>
      </c>
      <c r="I73" s="82" t="s">
        <v>168</v>
      </c>
      <c r="J73" s="28" t="s">
        <v>38</v>
      </c>
      <c r="K73" s="102" t="s">
        <v>165</v>
      </c>
      <c r="L73" s="103" t="s">
        <v>166</v>
      </c>
      <c r="N73" s="96">
        <f>I99</f>
        <v>35122830</v>
      </c>
      <c r="O73" s="113">
        <f>N73/$C$10</f>
        <v>0.12219292889758643</v>
      </c>
    </row>
    <row r="74" spans="2:15" ht="15" customHeight="1">
      <c r="B74" s="32"/>
      <c r="C74" s="22"/>
      <c r="D74" s="22">
        <v>1</v>
      </c>
      <c r="E74" s="78" t="s">
        <v>142</v>
      </c>
      <c r="F74" s="27">
        <f>'111 LS CS1'!F74</f>
        <v>0.1</v>
      </c>
      <c r="G74" s="97">
        <f>ROUND(F74*$J$7,0)</f>
        <v>2738</v>
      </c>
      <c r="H74" s="27">
        <f>'111 LS CS1'!H74</f>
        <v>0.02</v>
      </c>
      <c r="I74" s="63">
        <f>ROUND(H74*L74,0)</f>
        <v>492840</v>
      </c>
      <c r="J74" s="63">
        <f t="shared" ref="J74:J98" si="7">IF(G74&gt;0,IF(K74&gt;0,K74,$C$8),"")</f>
        <v>9000</v>
      </c>
      <c r="K74" s="25">
        <f>'111 LS CS1'!K74</f>
        <v>9000</v>
      </c>
      <c r="L74" s="67">
        <f>IFERROR(J74*G74,0)</f>
        <v>24642000</v>
      </c>
      <c r="M74" s="22"/>
      <c r="N74" s="22"/>
      <c r="O74" s="22"/>
    </row>
    <row r="75" spans="2:15" ht="15" customHeight="1">
      <c r="B75" s="32"/>
      <c r="C75" s="22"/>
      <c r="D75" s="22">
        <v>2</v>
      </c>
      <c r="E75" s="98" t="s">
        <v>148</v>
      </c>
      <c r="F75" s="27">
        <f>'111 LS CS1'!F75</f>
        <v>0</v>
      </c>
      <c r="G75" s="97">
        <f t="shared" ref="G75:G98" si="8">ROUND(F75*$J$7,0)</f>
        <v>0</v>
      </c>
      <c r="H75" s="27">
        <f>'111 LS CS1'!H75</f>
        <v>0</v>
      </c>
      <c r="I75" s="63">
        <f t="shared" ref="I75:I98" si="9">ROUND(H75*L75,0)</f>
        <v>0</v>
      </c>
      <c r="J75" s="63" t="str">
        <f t="shared" si="7"/>
        <v/>
      </c>
      <c r="K75" s="25">
        <f>'111 LS CS1'!K75</f>
        <v>0</v>
      </c>
      <c r="L75" s="67">
        <f t="shared" ref="L75:L87" si="10">IFERROR(J75*G75,0)</f>
        <v>0</v>
      </c>
      <c r="M75" s="22"/>
      <c r="N75" s="22"/>
      <c r="O75" s="22"/>
    </row>
    <row r="76" spans="2:15" ht="15" customHeight="1">
      <c r="B76" s="32"/>
      <c r="C76" s="22"/>
      <c r="D76" s="22">
        <v>3</v>
      </c>
      <c r="E76" s="98" t="s">
        <v>149</v>
      </c>
      <c r="F76" s="27">
        <f>'111 LS CS1'!F76</f>
        <v>0</v>
      </c>
      <c r="G76" s="97">
        <f t="shared" si="8"/>
        <v>0</v>
      </c>
      <c r="H76" s="27">
        <f>'111 LS CS1'!H76</f>
        <v>0</v>
      </c>
      <c r="I76" s="63">
        <f t="shared" si="9"/>
        <v>0</v>
      </c>
      <c r="J76" s="63" t="str">
        <f t="shared" si="7"/>
        <v/>
      </c>
      <c r="K76" s="25">
        <f>'111 LS CS1'!K76</f>
        <v>0</v>
      </c>
      <c r="L76" s="67">
        <f t="shared" si="10"/>
        <v>0</v>
      </c>
      <c r="M76" s="22"/>
      <c r="N76" s="22"/>
      <c r="O76" s="22"/>
    </row>
    <row r="77" spans="2:15" ht="15" customHeight="1">
      <c r="B77" s="32"/>
      <c r="C77" s="22"/>
      <c r="D77" s="22">
        <v>4</v>
      </c>
      <c r="E77" s="98" t="s">
        <v>150</v>
      </c>
      <c r="F77" s="27">
        <f>'111 LS CS1'!F77</f>
        <v>0</v>
      </c>
      <c r="G77" s="97">
        <f t="shared" si="8"/>
        <v>0</v>
      </c>
      <c r="H77" s="27">
        <f>'111 LS CS1'!H77</f>
        <v>0</v>
      </c>
      <c r="I77" s="63">
        <f t="shared" si="9"/>
        <v>0</v>
      </c>
      <c r="J77" s="63" t="str">
        <f t="shared" si="7"/>
        <v/>
      </c>
      <c r="K77" s="25">
        <f>'111 LS CS1'!K77</f>
        <v>0</v>
      </c>
      <c r="L77" s="67">
        <f t="shared" si="10"/>
        <v>0</v>
      </c>
      <c r="M77" s="22"/>
      <c r="N77" s="22"/>
      <c r="O77" s="22"/>
    </row>
    <row r="78" spans="2:15" ht="15" customHeight="1">
      <c r="B78" s="32"/>
      <c r="C78" s="22"/>
      <c r="D78" s="22">
        <v>5</v>
      </c>
      <c r="E78" s="98" t="s">
        <v>156</v>
      </c>
      <c r="F78" s="27">
        <f>'111 LS CS1'!F78</f>
        <v>0.3</v>
      </c>
      <c r="G78" s="97">
        <f t="shared" si="8"/>
        <v>8213</v>
      </c>
      <c r="H78" s="27">
        <f>'111 LS CS1'!H78</f>
        <v>0.1</v>
      </c>
      <c r="I78" s="63">
        <f t="shared" si="9"/>
        <v>8623650</v>
      </c>
      <c r="J78" s="63">
        <f t="shared" si="7"/>
        <v>10500</v>
      </c>
      <c r="K78" s="25">
        <f>'111 LS CS1'!K78</f>
        <v>0</v>
      </c>
      <c r="L78" s="67">
        <f t="shared" si="10"/>
        <v>86236500</v>
      </c>
      <c r="M78" s="22"/>
      <c r="N78" s="22"/>
      <c r="O78" s="22"/>
    </row>
    <row r="79" spans="2:15" ht="15" customHeight="1">
      <c r="B79" s="32"/>
      <c r="C79" s="22"/>
      <c r="D79" s="22">
        <v>6</v>
      </c>
      <c r="E79" s="80" t="s">
        <v>151</v>
      </c>
      <c r="F79" s="27">
        <f>'111 LS CS1'!F79</f>
        <v>0</v>
      </c>
      <c r="G79" s="97">
        <f t="shared" si="8"/>
        <v>0</v>
      </c>
      <c r="H79" s="27">
        <f>'111 LS CS1'!H79</f>
        <v>0</v>
      </c>
      <c r="I79" s="63">
        <f t="shared" si="9"/>
        <v>0</v>
      </c>
      <c r="J79" s="63" t="str">
        <f t="shared" si="7"/>
        <v/>
      </c>
      <c r="K79" s="25">
        <f>'111 LS CS1'!K79</f>
        <v>0</v>
      </c>
      <c r="L79" s="67">
        <f t="shared" si="10"/>
        <v>0</v>
      </c>
      <c r="M79" s="22"/>
      <c r="N79" s="22"/>
      <c r="O79" s="22"/>
    </row>
    <row r="80" spans="2:15" ht="15" customHeight="1">
      <c r="B80" s="32"/>
      <c r="C80" s="22"/>
      <c r="D80" s="22">
        <v>7</v>
      </c>
      <c r="E80" s="80" t="s">
        <v>152</v>
      </c>
      <c r="F80" s="27">
        <f>'111 LS CS1'!F80</f>
        <v>0</v>
      </c>
      <c r="G80" s="97">
        <f t="shared" si="8"/>
        <v>0</v>
      </c>
      <c r="H80" s="27">
        <f>'111 LS CS1'!H80</f>
        <v>0</v>
      </c>
      <c r="I80" s="63">
        <f t="shared" si="9"/>
        <v>0</v>
      </c>
      <c r="J80" s="63" t="str">
        <f t="shared" si="7"/>
        <v/>
      </c>
      <c r="K80" s="25">
        <f>'111 LS CS1'!K80</f>
        <v>0</v>
      </c>
      <c r="L80" s="67">
        <f t="shared" si="10"/>
        <v>0</v>
      </c>
      <c r="M80" s="22"/>
      <c r="N80" s="22"/>
      <c r="O80" s="22"/>
    </row>
    <row r="81" spans="2:15" ht="15" customHeight="1">
      <c r="B81" s="32"/>
      <c r="C81" s="22"/>
      <c r="D81" s="22">
        <v>8</v>
      </c>
      <c r="E81" s="80" t="s">
        <v>153</v>
      </c>
      <c r="F81" s="27">
        <f>'111 LS CS1'!F81</f>
        <v>0</v>
      </c>
      <c r="G81" s="97">
        <f t="shared" si="8"/>
        <v>0</v>
      </c>
      <c r="H81" s="27">
        <f>'111 LS CS1'!H81</f>
        <v>0</v>
      </c>
      <c r="I81" s="63">
        <f t="shared" si="9"/>
        <v>0</v>
      </c>
      <c r="J81" s="63" t="str">
        <f t="shared" si="7"/>
        <v/>
      </c>
      <c r="K81" s="25">
        <f>'111 LS CS1'!K81</f>
        <v>0</v>
      </c>
      <c r="L81" s="67">
        <f t="shared" si="10"/>
        <v>0</v>
      </c>
      <c r="M81" s="22"/>
      <c r="N81" s="22"/>
      <c r="O81" s="22"/>
    </row>
    <row r="82" spans="2:15" ht="15" customHeight="1">
      <c r="B82" s="32"/>
      <c r="C82" s="22"/>
      <c r="D82" s="22">
        <v>9</v>
      </c>
      <c r="E82" s="80" t="s">
        <v>154</v>
      </c>
      <c r="F82" s="27">
        <f>'111 LS CS1'!F82</f>
        <v>0</v>
      </c>
      <c r="G82" s="97">
        <f t="shared" si="8"/>
        <v>0</v>
      </c>
      <c r="H82" s="27">
        <f>'111 LS CS1'!H82</f>
        <v>0</v>
      </c>
      <c r="I82" s="63">
        <f t="shared" si="9"/>
        <v>0</v>
      </c>
      <c r="J82" s="63" t="str">
        <f t="shared" si="7"/>
        <v/>
      </c>
      <c r="K82" s="25">
        <f>'111 LS CS1'!K82</f>
        <v>0</v>
      </c>
      <c r="L82" s="67">
        <f t="shared" si="10"/>
        <v>0</v>
      </c>
      <c r="M82" s="22"/>
      <c r="N82" s="22"/>
      <c r="O82" s="22"/>
    </row>
    <row r="83" spans="2:15" ht="15" customHeight="1">
      <c r="B83" s="32"/>
      <c r="C83" s="22"/>
      <c r="D83" s="22">
        <v>10</v>
      </c>
      <c r="E83" s="80" t="s">
        <v>155</v>
      </c>
      <c r="F83" s="27">
        <f>'111 LS CS1'!F83</f>
        <v>0.2</v>
      </c>
      <c r="G83" s="97">
        <f t="shared" si="8"/>
        <v>5475</v>
      </c>
      <c r="H83" s="27">
        <f>'111 LS CS1'!H83</f>
        <v>0.19</v>
      </c>
      <c r="I83" s="63">
        <f t="shared" si="9"/>
        <v>12483000</v>
      </c>
      <c r="J83" s="63">
        <f t="shared" si="7"/>
        <v>12000</v>
      </c>
      <c r="K83" s="25">
        <f>'111 LS CS1'!K83</f>
        <v>12000</v>
      </c>
      <c r="L83" s="67">
        <f t="shared" si="10"/>
        <v>65700000</v>
      </c>
      <c r="M83" s="22"/>
      <c r="N83" s="22"/>
      <c r="O83" s="22"/>
    </row>
    <row r="84" spans="2:15" ht="15" customHeight="1">
      <c r="B84" s="32"/>
      <c r="C84" s="22"/>
      <c r="D84" s="22">
        <v>11</v>
      </c>
      <c r="E84" s="80" t="s">
        <v>158</v>
      </c>
      <c r="F84" s="27">
        <f>'111 LS CS1'!F84</f>
        <v>0.1</v>
      </c>
      <c r="G84" s="97">
        <f t="shared" si="8"/>
        <v>2738</v>
      </c>
      <c r="H84" s="27">
        <f>'111 LS CS1'!H84</f>
        <v>0.16</v>
      </c>
      <c r="I84" s="63">
        <f t="shared" si="9"/>
        <v>4599840</v>
      </c>
      <c r="J84" s="63">
        <f t="shared" si="7"/>
        <v>10500</v>
      </c>
      <c r="K84" s="25">
        <f>'111 LS CS1'!K84</f>
        <v>0</v>
      </c>
      <c r="L84" s="67">
        <f t="shared" si="10"/>
        <v>28749000</v>
      </c>
      <c r="M84" s="22"/>
      <c r="N84" s="22"/>
      <c r="O84" s="22"/>
    </row>
    <row r="85" spans="2:15" ht="15" customHeight="1">
      <c r="B85" s="32"/>
      <c r="C85" s="22"/>
      <c r="D85" s="22">
        <v>12</v>
      </c>
      <c r="E85" s="80" t="s">
        <v>157</v>
      </c>
      <c r="F85" s="27">
        <f>'111 LS CS1'!F85</f>
        <v>0</v>
      </c>
      <c r="G85" s="97">
        <f t="shared" si="8"/>
        <v>0</v>
      </c>
      <c r="H85" s="27">
        <f>'111 LS CS1'!H85</f>
        <v>0</v>
      </c>
      <c r="I85" s="63">
        <f t="shared" si="9"/>
        <v>0</v>
      </c>
      <c r="J85" s="63" t="str">
        <f t="shared" si="7"/>
        <v/>
      </c>
      <c r="K85" s="25">
        <f>'111 LS CS1'!K85</f>
        <v>0</v>
      </c>
      <c r="L85" s="67">
        <f t="shared" si="10"/>
        <v>0</v>
      </c>
      <c r="M85" s="22"/>
      <c r="N85" s="22"/>
      <c r="O85" s="22"/>
    </row>
    <row r="86" spans="2:15" ht="15" customHeight="1">
      <c r="B86" s="32"/>
      <c r="C86" s="22"/>
      <c r="D86" s="22">
        <v>13</v>
      </c>
      <c r="E86" s="99" t="str">
        <f>'111 LS CS1'!E86</f>
        <v>‐</v>
      </c>
      <c r="F86" s="27">
        <f>'111 LS CS1'!F86</f>
        <v>0</v>
      </c>
      <c r="G86" s="97">
        <f t="shared" si="8"/>
        <v>0</v>
      </c>
      <c r="H86" s="27">
        <f>'111 LS CS1'!H86</f>
        <v>0</v>
      </c>
      <c r="I86" s="63">
        <f t="shared" si="9"/>
        <v>0</v>
      </c>
      <c r="J86" s="63" t="str">
        <f t="shared" si="7"/>
        <v/>
      </c>
      <c r="K86" s="25">
        <f>'111 LS CS1'!K86</f>
        <v>0</v>
      </c>
      <c r="L86" s="67">
        <f t="shared" si="10"/>
        <v>0</v>
      </c>
      <c r="M86" s="22"/>
      <c r="N86" s="22"/>
      <c r="O86" s="22"/>
    </row>
    <row r="87" spans="2:15" ht="15" customHeight="1">
      <c r="B87" s="32"/>
      <c r="C87" s="22"/>
      <c r="D87" s="22">
        <v>14</v>
      </c>
      <c r="E87" s="99" t="str">
        <f>'111 LS CS1'!E87</f>
        <v>‐</v>
      </c>
      <c r="F87" s="27">
        <f>'111 LS CS1'!F87</f>
        <v>0</v>
      </c>
      <c r="G87" s="97">
        <f t="shared" si="8"/>
        <v>0</v>
      </c>
      <c r="H87" s="27">
        <f>'111 LS CS1'!H87</f>
        <v>0</v>
      </c>
      <c r="I87" s="63">
        <f t="shared" si="9"/>
        <v>0</v>
      </c>
      <c r="J87" s="63" t="str">
        <f t="shared" si="7"/>
        <v/>
      </c>
      <c r="K87" s="25">
        <f>'111 LS CS1'!K87</f>
        <v>0</v>
      </c>
      <c r="L87" s="67">
        <f t="shared" si="10"/>
        <v>0</v>
      </c>
      <c r="M87" s="22"/>
      <c r="N87" s="22"/>
      <c r="O87" s="22"/>
    </row>
    <row r="88" spans="2:15" ht="15" customHeight="1">
      <c r="B88" s="32"/>
      <c r="C88" s="22"/>
      <c r="D88" s="108">
        <v>15</v>
      </c>
      <c r="E88" s="108" t="str">
        <f>'111 LS CS1'!E88</f>
        <v>個人　その他</v>
      </c>
      <c r="F88" s="111">
        <f>'111 LS CS1'!F88</f>
        <v>9.9999999999999867E-2</v>
      </c>
      <c r="G88" s="109">
        <f>J7-SUM(G74:G87,G89:G98)</f>
        <v>2736</v>
      </c>
      <c r="H88" s="27">
        <f>'111 LS CS1'!H88</f>
        <v>0.05</v>
      </c>
      <c r="I88" s="110">
        <f t="shared" si="9"/>
        <v>1915500</v>
      </c>
      <c r="J88" s="112">
        <f>IFERROR(L88/G88,"Error")</f>
        <v>14002.192982456141</v>
      </c>
      <c r="K88" s="25">
        <f>'111 LS CS1'!K88</f>
        <v>0</v>
      </c>
      <c r="L88" s="101">
        <f>C10-SUM(L74:L87,L89:L98)</f>
        <v>38310000</v>
      </c>
      <c r="M88" s="108"/>
      <c r="N88" s="108"/>
      <c r="O88" s="108"/>
    </row>
    <row r="89" spans="2:15" ht="15" customHeight="1">
      <c r="B89" s="32"/>
      <c r="C89" s="22"/>
      <c r="D89" s="22">
        <v>16</v>
      </c>
      <c r="E89" s="99" t="str">
        <f>'111 LS CS1'!E89</f>
        <v>団体　国内募集旅行</v>
      </c>
      <c r="F89" s="27">
        <f>'111 LS CS1'!F89</f>
        <v>0</v>
      </c>
      <c r="G89" s="97">
        <f t="shared" si="8"/>
        <v>0</v>
      </c>
      <c r="H89" s="27">
        <f>'111 LS CS1'!H89</f>
        <v>0</v>
      </c>
      <c r="I89" s="63">
        <f t="shared" si="9"/>
        <v>0</v>
      </c>
      <c r="J89" s="63" t="str">
        <f t="shared" si="7"/>
        <v/>
      </c>
      <c r="K89" s="25">
        <f>'111 LS CS1'!K89</f>
        <v>0</v>
      </c>
      <c r="L89" s="67">
        <f t="shared" ref="L89:L98" si="11">IFERROR(J89*G89,0)</f>
        <v>0</v>
      </c>
      <c r="M89" s="22"/>
      <c r="N89" s="22"/>
      <c r="O89" s="22"/>
    </row>
    <row r="90" spans="2:15" ht="15" customHeight="1">
      <c r="B90" s="32"/>
      <c r="C90" s="22"/>
      <c r="D90" s="22">
        <v>17</v>
      </c>
      <c r="E90" s="99" t="str">
        <f>'111 LS CS1'!E90</f>
        <v>団体　国内その他</v>
      </c>
      <c r="F90" s="27">
        <f>'111 LS CS1'!F90</f>
        <v>0.2</v>
      </c>
      <c r="G90" s="97">
        <f t="shared" si="8"/>
        <v>5475</v>
      </c>
      <c r="H90" s="27">
        <f>'111 LS CS1'!H90</f>
        <v>0.16</v>
      </c>
      <c r="I90" s="63">
        <f t="shared" si="9"/>
        <v>7008000</v>
      </c>
      <c r="J90" s="63">
        <f t="shared" si="7"/>
        <v>8000</v>
      </c>
      <c r="K90" s="25">
        <f>'111 LS CS1'!K90</f>
        <v>8000</v>
      </c>
      <c r="L90" s="67">
        <f t="shared" si="11"/>
        <v>43800000</v>
      </c>
      <c r="M90" s="22"/>
      <c r="N90" s="22"/>
      <c r="O90" s="22"/>
    </row>
    <row r="91" spans="2:15" ht="15" customHeight="1">
      <c r="B91" s="32"/>
      <c r="C91" s="22"/>
      <c r="D91" s="22">
        <v>18</v>
      </c>
      <c r="E91" s="99" t="str">
        <f>'111 LS CS1'!E91</f>
        <v>団体　インバウンド　</v>
      </c>
      <c r="F91" s="27">
        <f>'111 LS CS1'!F91</f>
        <v>0</v>
      </c>
      <c r="G91" s="97">
        <f t="shared" si="8"/>
        <v>0</v>
      </c>
      <c r="H91" s="27">
        <f>'111 LS CS1'!H91</f>
        <v>0</v>
      </c>
      <c r="I91" s="63">
        <f t="shared" si="9"/>
        <v>0</v>
      </c>
      <c r="J91" s="63" t="str">
        <f t="shared" si="7"/>
        <v/>
      </c>
      <c r="K91" s="25">
        <f>'111 LS CS1'!K91</f>
        <v>0</v>
      </c>
      <c r="L91" s="67">
        <f t="shared" si="11"/>
        <v>0</v>
      </c>
      <c r="M91" s="22"/>
      <c r="N91" s="22"/>
      <c r="O91" s="22"/>
    </row>
    <row r="92" spans="2:15" ht="15" customHeight="1">
      <c r="B92" s="32"/>
      <c r="C92" s="22"/>
      <c r="D92" s="22">
        <v>19</v>
      </c>
      <c r="E92" s="99" t="str">
        <f>'111 LS CS1'!E92</f>
        <v>団体　インバウンド　</v>
      </c>
      <c r="F92" s="27">
        <f>'111 LS CS1'!F92</f>
        <v>0</v>
      </c>
      <c r="G92" s="97">
        <f t="shared" si="8"/>
        <v>0</v>
      </c>
      <c r="H92" s="27">
        <f>'111 LS CS1'!H92</f>
        <v>0</v>
      </c>
      <c r="I92" s="63">
        <f t="shared" si="9"/>
        <v>0</v>
      </c>
      <c r="J92" s="63" t="str">
        <f t="shared" si="7"/>
        <v/>
      </c>
      <c r="K92" s="25">
        <f>'111 LS CS1'!K92</f>
        <v>0</v>
      </c>
      <c r="L92" s="67">
        <f t="shared" si="11"/>
        <v>0</v>
      </c>
      <c r="M92" s="22"/>
      <c r="N92" s="22"/>
      <c r="O92" s="22"/>
    </row>
    <row r="93" spans="2:15" ht="15" customHeight="1">
      <c r="B93" s="32"/>
      <c r="C93" s="22"/>
      <c r="D93" s="22">
        <v>20</v>
      </c>
      <c r="E93" s="99" t="str">
        <f>'111 LS CS1'!E93</f>
        <v>‐</v>
      </c>
      <c r="F93" s="27">
        <f>'111 LS CS1'!F93</f>
        <v>0</v>
      </c>
      <c r="G93" s="97">
        <f t="shared" si="8"/>
        <v>0</v>
      </c>
      <c r="H93" s="27">
        <f>'111 LS CS1'!H93</f>
        <v>0</v>
      </c>
      <c r="I93" s="63">
        <f t="shared" si="9"/>
        <v>0</v>
      </c>
      <c r="J93" s="63" t="str">
        <f t="shared" si="7"/>
        <v/>
      </c>
      <c r="K93" s="25">
        <f>'111 LS CS1'!K93</f>
        <v>0</v>
      </c>
      <c r="L93" s="67">
        <f t="shared" si="11"/>
        <v>0</v>
      </c>
      <c r="M93" s="22"/>
      <c r="N93" s="22"/>
      <c r="O93" s="22"/>
    </row>
    <row r="94" spans="2:15" ht="15" customHeight="1">
      <c r="B94" s="32"/>
      <c r="C94" s="22"/>
      <c r="D94" s="22">
        <v>21</v>
      </c>
      <c r="E94" s="99" t="str">
        <f>'111 LS CS1'!E94</f>
        <v>‐</v>
      </c>
      <c r="F94" s="27">
        <f>'111 LS CS1'!F94</f>
        <v>0</v>
      </c>
      <c r="G94" s="97">
        <f t="shared" si="8"/>
        <v>0</v>
      </c>
      <c r="H94" s="27">
        <f>'111 LS CS1'!H94</f>
        <v>0</v>
      </c>
      <c r="I94" s="63">
        <f t="shared" si="9"/>
        <v>0</v>
      </c>
      <c r="J94" s="63" t="str">
        <f t="shared" si="7"/>
        <v/>
      </c>
      <c r="K94" s="25">
        <f>'111 LS CS1'!K94</f>
        <v>0</v>
      </c>
      <c r="L94" s="67">
        <f t="shared" si="11"/>
        <v>0</v>
      </c>
      <c r="M94" s="22"/>
      <c r="N94" s="22"/>
      <c r="O94" s="22"/>
    </row>
    <row r="95" spans="2:15" ht="15" customHeight="1">
      <c r="B95" s="32"/>
      <c r="C95" s="22"/>
      <c r="D95" s="22">
        <v>22</v>
      </c>
      <c r="E95" s="99" t="str">
        <f>'111 LS CS1'!E95</f>
        <v>‐</v>
      </c>
      <c r="F95" s="27">
        <f>'111 LS CS1'!F95</f>
        <v>0</v>
      </c>
      <c r="G95" s="97">
        <f t="shared" si="8"/>
        <v>0</v>
      </c>
      <c r="H95" s="27">
        <f>'111 LS CS1'!H95</f>
        <v>0</v>
      </c>
      <c r="I95" s="63">
        <f t="shared" si="9"/>
        <v>0</v>
      </c>
      <c r="J95" s="63" t="str">
        <f t="shared" si="7"/>
        <v/>
      </c>
      <c r="K95" s="25">
        <f>'111 LS CS1'!K95</f>
        <v>0</v>
      </c>
      <c r="L95" s="67">
        <f t="shared" si="11"/>
        <v>0</v>
      </c>
      <c r="M95" s="22"/>
      <c r="N95" s="22"/>
      <c r="O95" s="22"/>
    </row>
    <row r="96" spans="2:15" ht="15" customHeight="1">
      <c r="B96" s="32"/>
      <c r="C96" s="22"/>
      <c r="D96" s="22">
        <v>23</v>
      </c>
      <c r="E96" s="99" t="str">
        <f>'111 LS CS1'!E96</f>
        <v>‐</v>
      </c>
      <c r="F96" s="27">
        <f>'111 LS CS1'!F96</f>
        <v>0</v>
      </c>
      <c r="G96" s="97">
        <f t="shared" si="8"/>
        <v>0</v>
      </c>
      <c r="H96" s="27">
        <f>'111 LS CS1'!H96</f>
        <v>0</v>
      </c>
      <c r="I96" s="63">
        <f t="shared" si="9"/>
        <v>0</v>
      </c>
      <c r="J96" s="63" t="str">
        <f t="shared" si="7"/>
        <v/>
      </c>
      <c r="K96" s="25">
        <f>'111 LS CS1'!K96</f>
        <v>0</v>
      </c>
      <c r="L96" s="67">
        <f t="shared" si="11"/>
        <v>0</v>
      </c>
      <c r="M96" s="22"/>
      <c r="N96" s="22"/>
      <c r="O96" s="22"/>
    </row>
    <row r="97" spans="1:15" ht="15" customHeight="1">
      <c r="B97" s="32"/>
      <c r="C97" s="22"/>
      <c r="D97" s="22">
        <v>24</v>
      </c>
      <c r="E97" s="99" t="str">
        <f>'111 LS CS1'!E97</f>
        <v>‐</v>
      </c>
      <c r="F97" s="27">
        <f>'111 LS CS1'!F97</f>
        <v>0</v>
      </c>
      <c r="G97" s="97">
        <f t="shared" si="8"/>
        <v>0</v>
      </c>
      <c r="H97" s="27">
        <f>'111 LS CS1'!H97</f>
        <v>0</v>
      </c>
      <c r="I97" s="63">
        <f t="shared" si="9"/>
        <v>0</v>
      </c>
      <c r="J97" s="63" t="str">
        <f t="shared" si="7"/>
        <v/>
      </c>
      <c r="K97" s="25">
        <f>'111 LS CS1'!K97</f>
        <v>0</v>
      </c>
      <c r="L97" s="67">
        <f t="shared" si="11"/>
        <v>0</v>
      </c>
      <c r="M97" s="22"/>
      <c r="N97" s="22"/>
      <c r="O97" s="22"/>
    </row>
    <row r="98" spans="1:15" ht="15" customHeight="1">
      <c r="B98" s="32"/>
      <c r="C98" s="22"/>
      <c r="D98" s="22">
        <v>25</v>
      </c>
      <c r="E98" s="100" t="s">
        <v>164</v>
      </c>
      <c r="F98" s="27">
        <f>'111 LS CS1'!F98</f>
        <v>0</v>
      </c>
      <c r="G98" s="97">
        <f t="shared" si="8"/>
        <v>0</v>
      </c>
      <c r="H98" s="27">
        <f>'111 LS CS1'!H98</f>
        <v>0</v>
      </c>
      <c r="I98" s="63">
        <f t="shared" si="9"/>
        <v>0</v>
      </c>
      <c r="J98" s="63" t="str">
        <f t="shared" si="7"/>
        <v/>
      </c>
      <c r="K98" s="25">
        <f>'111 LS CS1'!K98</f>
        <v>0</v>
      </c>
      <c r="L98" s="67">
        <f t="shared" si="11"/>
        <v>0</v>
      </c>
      <c r="M98" s="22"/>
      <c r="N98" s="22"/>
      <c r="O98" s="22"/>
    </row>
    <row r="99" spans="1:15" ht="15" customHeight="1">
      <c r="B99" s="74"/>
      <c r="C99" s="22"/>
      <c r="D99" s="21"/>
      <c r="E99" s="21"/>
      <c r="F99" s="104">
        <f>SUM(F74:F98)</f>
        <v>1</v>
      </c>
      <c r="G99" s="97">
        <f>SUM(G74:G98)</f>
        <v>27375</v>
      </c>
      <c r="H99" s="107">
        <f>IFERROR(I99/L99,0)</f>
        <v>0.12219292889758643</v>
      </c>
      <c r="I99" s="106">
        <f>SUM(I74:I98)</f>
        <v>35122830</v>
      </c>
      <c r="J99" s="105">
        <f>C8</f>
        <v>10500</v>
      </c>
      <c r="K99" s="22"/>
      <c r="L99" s="26">
        <f>SUM(L74:L98)</f>
        <v>287437500</v>
      </c>
      <c r="M99" s="28"/>
      <c r="N99" s="28"/>
      <c r="O99" s="22"/>
    </row>
    <row r="100" spans="1:15" ht="15" customHeight="1">
      <c r="A100"/>
      <c r="B100"/>
      <c r="C100"/>
      <c r="D100"/>
      <c r="E100"/>
      <c r="F100"/>
      <c r="G100"/>
      <c r="H100"/>
      <c r="I100"/>
      <c r="J100"/>
      <c r="K100"/>
      <c r="L100"/>
      <c r="M100"/>
      <c r="N100"/>
      <c r="O100"/>
    </row>
    <row r="101" spans="1:15" ht="15" customHeight="1">
      <c r="D101" s="7" t="s">
        <v>146</v>
      </c>
    </row>
    <row r="102" spans="1:15" ht="15" customHeight="1">
      <c r="D102" s="7" t="s">
        <v>147</v>
      </c>
    </row>
  </sheetData>
  <mergeCells count="7">
    <mergeCell ref="K36:M36"/>
    <mergeCell ref="C4:G4"/>
    <mergeCell ref="K31:M31"/>
    <mergeCell ref="K32:M32"/>
    <mergeCell ref="K33:M33"/>
    <mergeCell ref="K34:M34"/>
    <mergeCell ref="K35:M35"/>
  </mergeCells>
  <phoneticPr fontId="3"/>
  <conditionalFormatting sqref="D16:D19 D21:D27">
    <cfRule type="dataBar" priority="4">
      <dataBar>
        <cfvo type="min"/>
        <cfvo type="max"/>
        <color rgb="FF638EC6"/>
      </dataBar>
      <extLst>
        <ext xmlns:x14="http://schemas.microsoft.com/office/spreadsheetml/2009/9/main" uri="{B025F937-C7B1-47D3-B67F-A62EFF666E3E}">
          <x14:id>{EC07EB2C-28D8-4DB7-8048-D197E97F0946}</x14:id>
        </ext>
      </extLst>
    </cfRule>
  </conditionalFormatting>
  <conditionalFormatting sqref="F99">
    <cfRule type="cellIs" dxfId="3" priority="3" operator="notEqual">
      <formula>1</formula>
    </cfRule>
  </conditionalFormatting>
  <conditionalFormatting sqref="G74:G98">
    <cfRule type="dataBar" priority="2">
      <dataBar>
        <cfvo type="min"/>
        <cfvo type="max"/>
        <color rgb="FF63C384"/>
      </dataBar>
      <extLst>
        <ext xmlns:x14="http://schemas.microsoft.com/office/spreadsheetml/2009/9/main" uri="{B025F937-C7B1-47D3-B67F-A62EFF666E3E}">
          <x14:id>{D0DDE050-ACB7-45A8-A314-EE7C49FD8D29}</x14:id>
        </ext>
      </extLst>
    </cfRule>
  </conditionalFormatting>
  <conditionalFormatting sqref="J74:J98">
    <cfRule type="dataBar" priority="5">
      <dataBar>
        <cfvo type="min"/>
        <cfvo type="max"/>
        <color rgb="FFFF555A"/>
      </dataBar>
      <extLst>
        <ext xmlns:x14="http://schemas.microsoft.com/office/spreadsheetml/2009/9/main" uri="{B025F937-C7B1-47D3-B67F-A62EFF666E3E}">
          <x14:id>{F7663317-D293-4B5F-AE25-7C0FAD5F4D27}</x14:id>
        </ext>
      </extLst>
    </cfRule>
  </conditionalFormatting>
  <conditionalFormatting sqref="J88">
    <cfRule type="containsText" dxfId="2" priority="1" operator="containsText" text="Error">
      <formula>NOT(ISERROR(SEARCH("Error",J88)))</formula>
    </cfRule>
  </conditionalFormatting>
  <dataValidations count="3">
    <dataValidation type="list" allowBlank="1" showInputMessage="1" showErrorMessage="1" sqref="F70" xr:uid="{8991B86D-20B0-4B04-BCEF-F3D22AABA6DD}">
      <formula1>"1,2"</formula1>
    </dataValidation>
    <dataValidation type="list" allowBlank="1" showInputMessage="1" showErrorMessage="1" sqref="F42 F58 F64" xr:uid="{D7194C78-7CA5-4904-A08D-3EA4F395F897}">
      <formula1>"1,2,3"</formula1>
    </dataValidation>
    <dataValidation imeMode="off" allowBlank="1" showInputMessage="1" showErrorMessage="1" sqref="G31:G33 G7 L7 C11 I34:I36 F44:F45 I47:I50 G47:G50 I52:I55 G52:G55 E7:E8 G60:G62 I62 K62 M62 G66:G68 I68 K68 M68 G19 I19 J21:J23 L23 K74:K98 F89:F98 F74:F87 H74:H98 J25 G26:G27 I26:I27" xr:uid="{B88CD295-E56E-4F13-AA27-88D815028C29}"/>
  </dataValidations>
  <hyperlinks>
    <hyperlink ref="A1" location="index!A1" display="&lt;&lt;" xr:uid="{9D99A5D5-69AD-4601-8CB3-87C093DACD51}"/>
  </hyperlinks>
  <pageMargins left="0.70866141732283472" right="0.70866141732283472" top="0.74803149606299213" bottom="0.74803149606299213" header="0.31496062992125984" footer="0.31496062992125984"/>
  <pageSetup paperSize="9" scale="98"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EC07EB2C-28D8-4DB7-8048-D197E97F0946}">
            <x14:dataBar minLength="0" maxLength="100" border="1" negativeBarBorderColorSameAsPositive="0">
              <x14:cfvo type="autoMin"/>
              <x14:cfvo type="autoMax"/>
              <x14:borderColor rgb="FF638EC6"/>
              <x14:negativeFillColor rgb="FFFF0000"/>
              <x14:negativeBorderColor rgb="FFFF0000"/>
              <x14:axisColor rgb="FF000000"/>
            </x14:dataBar>
          </x14:cfRule>
          <xm:sqref>D16:D19 D21:D27</xm:sqref>
        </x14:conditionalFormatting>
        <x14:conditionalFormatting xmlns:xm="http://schemas.microsoft.com/office/excel/2006/main">
          <x14:cfRule type="dataBar" id="{D0DDE050-ACB7-45A8-A314-EE7C49FD8D29}">
            <x14:dataBar minLength="0" maxLength="100" border="1" negativeBarBorderColorSameAsPositive="0">
              <x14:cfvo type="autoMin"/>
              <x14:cfvo type="autoMax"/>
              <x14:borderColor rgb="FF63C384"/>
              <x14:negativeFillColor rgb="FFFF0000"/>
              <x14:negativeBorderColor rgb="FFFF0000"/>
              <x14:axisColor rgb="FF000000"/>
            </x14:dataBar>
          </x14:cfRule>
          <xm:sqref>G74:G98</xm:sqref>
        </x14:conditionalFormatting>
        <x14:conditionalFormatting xmlns:xm="http://schemas.microsoft.com/office/excel/2006/main">
          <x14:cfRule type="dataBar" id="{F7663317-D293-4B5F-AE25-7C0FAD5F4D27}">
            <x14:dataBar minLength="0" maxLength="100" border="1" negativeBarBorderColorSameAsPositive="0">
              <x14:cfvo type="autoMin"/>
              <x14:cfvo type="autoMax"/>
              <x14:borderColor rgb="FFFF555A"/>
              <x14:negativeFillColor rgb="FFFF0000"/>
              <x14:negativeBorderColor rgb="FFFF0000"/>
              <x14:axisColor rgb="FF000000"/>
            </x14:dataBar>
          </x14:cfRule>
          <xm:sqref>J74:J98</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77BB4-5EFF-449B-8353-2C3724C769C7}">
  <sheetPr>
    <tabColor rgb="FFFFFF00"/>
    <pageSetUpPr fitToPage="1"/>
  </sheetPr>
  <dimension ref="A1:O102"/>
  <sheetViews>
    <sheetView showGridLines="0" zoomScale="90" zoomScaleNormal="90" workbookViewId="0">
      <selection activeCell="L8" sqref="L8"/>
    </sheetView>
  </sheetViews>
  <sheetFormatPr defaultRowHeight="15" customHeight="1"/>
  <cols>
    <col min="1" max="1" width="3.69140625" style="2" customWidth="1"/>
    <col min="2" max="15" width="16.69140625" style="2" customWidth="1"/>
  </cols>
  <sheetData>
    <row r="1" spans="1:15" ht="19.149999999999999" thickBot="1">
      <c r="A1" s="4" t="s">
        <v>0</v>
      </c>
      <c r="B1" s="3" t="s">
        <v>173</v>
      </c>
      <c r="C1" s="3"/>
      <c r="D1" s="3"/>
      <c r="E1" s="3"/>
      <c r="F1" s="3"/>
      <c r="G1" s="3"/>
      <c r="H1" s="3"/>
      <c r="I1" s="3"/>
      <c r="J1" s="3"/>
      <c r="K1" s="3"/>
      <c r="L1" s="3"/>
      <c r="M1" s="3"/>
      <c r="N1" s="3"/>
      <c r="O1" s="115" t="str">
        <f>index!$C$7</f>
        <v>Sample Hotel</v>
      </c>
    </row>
    <row r="2" spans="1:15" ht="15" customHeight="1" thickTop="1"/>
    <row r="3" spans="1:15" ht="15" customHeight="1">
      <c r="A3" s="13" t="s">
        <v>139</v>
      </c>
      <c r="N3" s="82" t="s">
        <v>256</v>
      </c>
      <c r="O3" s="118">
        <f>DATE(index!$J$7,index!$L$7,index!$N$7)</f>
        <v>44635</v>
      </c>
    </row>
    <row r="4" spans="1:15" ht="15" customHeight="1">
      <c r="B4" s="82" t="s">
        <v>133</v>
      </c>
      <c r="C4" s="152" t="s">
        <v>174</v>
      </c>
      <c r="D4" s="152"/>
      <c r="E4" s="152"/>
      <c r="F4" s="152"/>
      <c r="G4" s="152"/>
    </row>
    <row r="6" spans="1:15" ht="15" customHeight="1">
      <c r="B6" s="22" t="s">
        <v>44</v>
      </c>
      <c r="C6" s="23">
        <f>'101 LS LY'!C6</f>
        <v>100</v>
      </c>
      <c r="D6" s="22" t="s">
        <v>45</v>
      </c>
      <c r="E6" s="22"/>
      <c r="F6" s="22"/>
      <c r="G6" s="22"/>
      <c r="H6" s="22"/>
      <c r="I6" s="22"/>
      <c r="J6" s="22"/>
      <c r="K6" s="22"/>
      <c r="L6" s="22"/>
      <c r="M6" s="22"/>
      <c r="N6" s="22"/>
      <c r="O6" s="22"/>
    </row>
    <row r="7" spans="1:15" ht="15" customHeight="1">
      <c r="B7" s="59" t="s">
        <v>122</v>
      </c>
      <c r="C7" s="48">
        <f>IF(E7&gt;0,E7,'101 LS LY'!C7)</f>
        <v>0.8</v>
      </c>
      <c r="D7" s="31" t="s">
        <v>48</v>
      </c>
      <c r="E7" s="116"/>
      <c r="F7" s="30" t="s">
        <v>46</v>
      </c>
      <c r="G7" s="29">
        <f>'111 LS CS1'!G7</f>
        <v>365</v>
      </c>
      <c r="H7" s="22"/>
      <c r="I7" s="30" t="s">
        <v>47</v>
      </c>
      <c r="J7" s="23">
        <f>IF(L7&gt;0,L7,ROUND(C6*G7*C7,0))</f>
        <v>29200</v>
      </c>
      <c r="K7" s="31" t="s">
        <v>48</v>
      </c>
      <c r="L7" s="24">
        <f>'111 LS CS1'!L7</f>
        <v>0</v>
      </c>
      <c r="M7" s="31" t="s">
        <v>49</v>
      </c>
      <c r="N7" s="22"/>
      <c r="O7" s="22"/>
    </row>
    <row r="8" spans="1:15" ht="15" customHeight="1">
      <c r="B8" s="59" t="s">
        <v>38</v>
      </c>
      <c r="C8" s="63">
        <f>IF(E8&gt;0,E8,'101 LS LY'!C8)</f>
        <v>10000</v>
      </c>
      <c r="D8" s="31" t="s">
        <v>48</v>
      </c>
      <c r="E8" s="24">
        <v>0</v>
      </c>
      <c r="F8" s="22"/>
      <c r="G8" s="22"/>
      <c r="H8" s="22"/>
      <c r="I8" s="22"/>
      <c r="J8" s="22"/>
      <c r="K8" s="22"/>
      <c r="L8" s="22"/>
      <c r="M8" s="22"/>
      <c r="N8" s="22"/>
      <c r="O8" s="22"/>
    </row>
    <row r="9" spans="1:15" ht="15" customHeight="1">
      <c r="B9" s="22"/>
      <c r="C9" s="22"/>
      <c r="D9" s="22"/>
      <c r="E9" s="22"/>
      <c r="F9" s="22"/>
      <c r="G9" s="22"/>
      <c r="H9" s="22"/>
      <c r="I9" s="22"/>
      <c r="J9" s="22"/>
      <c r="K9" s="22"/>
      <c r="L9" s="22"/>
      <c r="M9" s="22"/>
      <c r="N9" s="22"/>
      <c r="O9" s="22"/>
    </row>
    <row r="10" spans="1:15" ht="15" customHeight="1">
      <c r="B10" s="22" t="s">
        <v>51</v>
      </c>
      <c r="C10" s="46">
        <f>C8*J7</f>
        <v>292000000</v>
      </c>
      <c r="D10" s="22"/>
      <c r="E10" s="22"/>
      <c r="F10" s="22"/>
      <c r="G10" s="22"/>
      <c r="H10" s="22"/>
      <c r="I10" s="22"/>
      <c r="J10" s="22"/>
      <c r="K10" s="22"/>
      <c r="L10" s="22"/>
      <c r="M10" s="22"/>
      <c r="N10" s="22"/>
      <c r="O10" s="22"/>
    </row>
    <row r="11" spans="1:15" ht="15" customHeight="1">
      <c r="B11" s="22" t="s">
        <v>52</v>
      </c>
      <c r="C11" s="47">
        <v>0</v>
      </c>
      <c r="D11" s="22"/>
      <c r="E11" s="22"/>
      <c r="F11" s="22"/>
      <c r="G11" s="22"/>
      <c r="H11" s="22"/>
      <c r="I11" s="22"/>
      <c r="J11" s="22"/>
      <c r="K11" s="22"/>
      <c r="L11" s="22"/>
      <c r="M11" s="22"/>
      <c r="N11" s="22"/>
      <c r="O11" s="22"/>
    </row>
    <row r="12" spans="1:15" ht="15" customHeight="1">
      <c r="B12" s="58" t="s">
        <v>121</v>
      </c>
      <c r="C12" s="55">
        <f>C10+C11</f>
        <v>292000000</v>
      </c>
      <c r="D12" s="57"/>
      <c r="E12" s="57"/>
      <c r="F12" s="57"/>
      <c r="G12" s="57"/>
      <c r="H12" s="57"/>
      <c r="I12" s="57"/>
      <c r="J12" s="57"/>
      <c r="K12" s="57"/>
      <c r="L12" s="57"/>
      <c r="M12" s="57"/>
      <c r="N12" s="57"/>
      <c r="O12" s="57"/>
    </row>
    <row r="14" spans="1:15" ht="15" customHeight="1">
      <c r="B14" s="22"/>
      <c r="C14" s="21" t="s">
        <v>91</v>
      </c>
      <c r="D14" s="21" t="s">
        <v>92</v>
      </c>
      <c r="E14" s="22"/>
      <c r="F14" s="22"/>
      <c r="G14" s="22"/>
      <c r="H14" s="22"/>
      <c r="I14" s="22"/>
      <c r="J14" s="22"/>
      <c r="K14" s="22"/>
      <c r="L14" s="22"/>
      <c r="M14" s="22"/>
      <c r="N14" s="22"/>
      <c r="O14" s="22"/>
    </row>
    <row r="15" spans="1:15" ht="15" customHeight="1">
      <c r="B15" s="21" t="s">
        <v>13</v>
      </c>
      <c r="C15" s="26">
        <f>SUM(C16:C19)</f>
        <v>36500000</v>
      </c>
      <c r="D15" s="48">
        <f>C15/$C$12</f>
        <v>0.125</v>
      </c>
      <c r="E15" s="22"/>
      <c r="F15" s="21" t="s">
        <v>94</v>
      </c>
      <c r="G15" s="22"/>
      <c r="H15" s="22"/>
      <c r="I15" s="22"/>
      <c r="J15" s="22"/>
      <c r="K15" s="22"/>
      <c r="L15" s="22"/>
      <c r="M15" s="22"/>
      <c r="N15" s="80" t="s">
        <v>126</v>
      </c>
      <c r="O15" s="22"/>
    </row>
    <row r="16" spans="1:15" ht="15" customHeight="1">
      <c r="B16" s="49" t="s">
        <v>88</v>
      </c>
      <c r="C16" s="50">
        <f>G42</f>
        <v>20000000</v>
      </c>
      <c r="D16" s="51">
        <f t="shared" ref="D16:D27" si="0">C16/$C$12</f>
        <v>6.8493150684931503E-2</v>
      </c>
      <c r="E16" s="22"/>
      <c r="F16" s="21" t="s">
        <v>95</v>
      </c>
      <c r="G16" s="22"/>
      <c r="H16" s="22"/>
      <c r="I16" s="22"/>
      <c r="J16" s="22"/>
      <c r="K16" s="22"/>
      <c r="L16" s="22"/>
      <c r="M16" s="22"/>
      <c r="N16" s="80" t="s">
        <v>126</v>
      </c>
      <c r="O16" s="22"/>
    </row>
    <row r="17" spans="2:15" ht="15" customHeight="1">
      <c r="B17" s="49" t="s">
        <v>89</v>
      </c>
      <c r="C17" s="50">
        <f>G58</f>
        <v>3500000</v>
      </c>
      <c r="D17" s="51">
        <f t="shared" si="0"/>
        <v>1.1986301369863013E-2</v>
      </c>
      <c r="E17" s="22"/>
      <c r="F17" s="22"/>
      <c r="G17" s="22"/>
      <c r="H17" s="22"/>
      <c r="I17" s="22"/>
      <c r="J17" s="22"/>
      <c r="K17" s="22"/>
      <c r="L17" s="22"/>
      <c r="M17" s="22"/>
      <c r="N17" s="80" t="s">
        <v>126</v>
      </c>
      <c r="O17" s="79" t="s">
        <v>127</v>
      </c>
    </row>
    <row r="18" spans="2:15" ht="15" customHeight="1">
      <c r="B18" s="49" t="s">
        <v>90</v>
      </c>
      <c r="C18" s="50">
        <f>G64</f>
        <v>10000000</v>
      </c>
      <c r="D18" s="51">
        <f t="shared" si="0"/>
        <v>3.4246575342465752E-2</v>
      </c>
      <c r="E18" s="22"/>
      <c r="F18" s="22"/>
      <c r="G18" s="22"/>
      <c r="H18" s="22"/>
      <c r="I18" s="22"/>
      <c r="J18" s="22"/>
      <c r="K18" s="22"/>
      <c r="L18" s="22"/>
      <c r="M18" s="22"/>
      <c r="N18" s="80" t="s">
        <v>126</v>
      </c>
      <c r="O18" s="22"/>
    </row>
    <row r="19" spans="2:15" ht="15" customHeight="1">
      <c r="B19" s="49" t="s">
        <v>96</v>
      </c>
      <c r="C19" s="50">
        <f>IF(I19&gt;0,I19,ROUND(C16*G19,0))</f>
        <v>3000000</v>
      </c>
      <c r="D19" s="51">
        <f t="shared" si="0"/>
        <v>1.0273972602739725E-2</v>
      </c>
      <c r="E19" s="22"/>
      <c r="F19" s="28" t="s">
        <v>106</v>
      </c>
      <c r="G19" s="27">
        <f>'111 LS CS1'!G19</f>
        <v>0.15</v>
      </c>
      <c r="H19" s="28" t="s">
        <v>97</v>
      </c>
      <c r="I19" s="25">
        <f>'111 LS CS1'!I19</f>
        <v>0</v>
      </c>
      <c r="J19" s="22"/>
      <c r="K19" s="22"/>
      <c r="L19" s="22"/>
      <c r="M19" s="22"/>
      <c r="N19" s="80" t="s">
        <v>126</v>
      </c>
      <c r="O19" s="22"/>
    </row>
    <row r="20" spans="2:15" ht="15" customHeight="1">
      <c r="B20" s="21" t="s">
        <v>93</v>
      </c>
      <c r="C20" s="26">
        <f>SUM(C21:C27)</f>
        <v>109470800</v>
      </c>
      <c r="D20" s="48">
        <f>C20/$C$12</f>
        <v>0.37490000000000001</v>
      </c>
      <c r="E20" s="22"/>
      <c r="F20" s="22"/>
      <c r="G20" s="22"/>
      <c r="H20" s="22"/>
      <c r="I20" s="22"/>
      <c r="J20" s="22"/>
      <c r="K20" s="22"/>
      <c r="L20" s="22"/>
      <c r="M20" s="22"/>
      <c r="N20" s="22"/>
      <c r="O20" s="22"/>
    </row>
    <row r="21" spans="2:15" ht="15" customHeight="1">
      <c r="B21" s="83" t="s">
        <v>99</v>
      </c>
      <c r="C21" s="84">
        <f>$J$7*IF(J21&gt;0,J21,G21)</f>
        <v>12994000</v>
      </c>
      <c r="D21" s="85">
        <f t="shared" si="0"/>
        <v>4.4499999999999998E-2</v>
      </c>
      <c r="E21" s="86"/>
      <c r="F21" s="90" t="s">
        <v>124</v>
      </c>
      <c r="G21" s="91">
        <f>'101 LS LY'!L21</f>
        <v>445</v>
      </c>
      <c r="H21" s="86" t="s">
        <v>134</v>
      </c>
      <c r="I21" s="92" t="s">
        <v>135</v>
      </c>
      <c r="J21" s="25">
        <f>'111 LS CS1'!J21</f>
        <v>0</v>
      </c>
      <c r="K21" s="86"/>
      <c r="L21" s="86"/>
      <c r="M21" s="86"/>
      <c r="N21" s="79" t="s">
        <v>128</v>
      </c>
      <c r="O21" s="86"/>
    </row>
    <row r="22" spans="2:15" ht="15" customHeight="1">
      <c r="B22" s="83" t="s">
        <v>100</v>
      </c>
      <c r="C22" s="84">
        <f t="shared" ref="C22" si="1">$J$7*IF(J22&gt;0,J22,G22)</f>
        <v>16994400</v>
      </c>
      <c r="D22" s="85">
        <f t="shared" si="0"/>
        <v>5.8200000000000002E-2</v>
      </c>
      <c r="E22" s="86"/>
      <c r="F22" s="90" t="s">
        <v>124</v>
      </c>
      <c r="G22" s="91">
        <f>'101 LS LY'!L22</f>
        <v>582</v>
      </c>
      <c r="H22" s="86" t="s">
        <v>134</v>
      </c>
      <c r="I22" s="93" t="s">
        <v>135</v>
      </c>
      <c r="J22" s="25">
        <f>'111 LS CS1'!J22</f>
        <v>0</v>
      </c>
      <c r="K22" s="86"/>
      <c r="L22" s="86"/>
      <c r="M22" s="86"/>
      <c r="N22" s="79" t="s">
        <v>128</v>
      </c>
      <c r="O22" s="86"/>
    </row>
    <row r="23" spans="2:15" ht="15" customHeight="1">
      <c r="B23" s="83" t="s">
        <v>101</v>
      </c>
      <c r="C23" s="84">
        <f>MAX($J$7,M23)*IF(J23&gt;0,J23,G23)</f>
        <v>24002400</v>
      </c>
      <c r="D23" s="85">
        <f t="shared" si="0"/>
        <v>8.2199999999999995E-2</v>
      </c>
      <c r="E23" s="86"/>
      <c r="F23" s="90" t="s">
        <v>124</v>
      </c>
      <c r="G23" s="91">
        <f>'101 LS LY'!L23</f>
        <v>822</v>
      </c>
      <c r="H23" s="86" t="s">
        <v>134</v>
      </c>
      <c r="I23" s="93" t="s">
        <v>135</v>
      </c>
      <c r="J23" s="25">
        <f>'111 LS CS1'!J23</f>
        <v>0</v>
      </c>
      <c r="K23" s="87" t="s">
        <v>143</v>
      </c>
      <c r="L23" s="27">
        <f>'111 LS CS1'!L23</f>
        <v>0.4</v>
      </c>
      <c r="M23" s="95">
        <f>C6*G7*L23</f>
        <v>14600</v>
      </c>
      <c r="N23" s="79" t="s">
        <v>128</v>
      </c>
      <c r="O23" s="86"/>
    </row>
    <row r="24" spans="2:15" ht="15" customHeight="1">
      <c r="B24" s="83" t="s">
        <v>102</v>
      </c>
      <c r="C24" s="84">
        <f>G70</f>
        <v>32120000</v>
      </c>
      <c r="D24" s="85">
        <f t="shared" si="0"/>
        <v>0.11</v>
      </c>
      <c r="E24" s="86"/>
      <c r="F24" s="90" t="s">
        <v>124</v>
      </c>
      <c r="G24" s="91">
        <f>'101 LS LY'!L24</f>
        <v>1100</v>
      </c>
      <c r="H24" s="86" t="s">
        <v>134</v>
      </c>
      <c r="I24" s="94" t="s">
        <v>136</v>
      </c>
      <c r="J24" s="94"/>
      <c r="K24" s="86"/>
      <c r="L24" s="86"/>
      <c r="M24" s="86"/>
      <c r="N24" s="78" t="s">
        <v>129</v>
      </c>
      <c r="O24" s="86"/>
    </row>
    <row r="25" spans="2:15" ht="15" customHeight="1">
      <c r="B25" s="49" t="s">
        <v>103</v>
      </c>
      <c r="C25" s="50">
        <f>$J$7*IF(J25&gt;0,J25,G25)</f>
        <v>17520000</v>
      </c>
      <c r="D25" s="51">
        <f t="shared" si="0"/>
        <v>0.06</v>
      </c>
      <c r="E25" s="22"/>
      <c r="F25" s="22"/>
      <c r="G25" s="63">
        <f>'101 LS LY'!L25</f>
        <v>600</v>
      </c>
      <c r="H25" s="22" t="s">
        <v>134</v>
      </c>
      <c r="I25" s="92" t="s">
        <v>135</v>
      </c>
      <c r="J25" s="25">
        <f>'111 LS CS1'!J25</f>
        <v>0</v>
      </c>
      <c r="K25" s="22"/>
      <c r="L25" s="22"/>
      <c r="M25" s="22"/>
      <c r="N25" s="79" t="s">
        <v>128</v>
      </c>
      <c r="O25" s="22"/>
    </row>
    <row r="26" spans="2:15" ht="15" customHeight="1">
      <c r="B26" s="49" t="s">
        <v>104</v>
      </c>
      <c r="C26" s="50">
        <f>IF(I26&gt;0,I26,ROUND($C$12*G26,0))</f>
        <v>2920000</v>
      </c>
      <c r="D26" s="51">
        <f t="shared" si="0"/>
        <v>0.01</v>
      </c>
      <c r="E26" s="22"/>
      <c r="F26" s="114" t="s">
        <v>107</v>
      </c>
      <c r="G26" s="27">
        <f>'111 LS CS1'!G26</f>
        <v>0.01</v>
      </c>
      <c r="H26" s="114" t="s">
        <v>97</v>
      </c>
      <c r="I26" s="25">
        <f>'111 LS CS1'!I26</f>
        <v>0</v>
      </c>
      <c r="J26" s="22"/>
      <c r="K26" s="22"/>
      <c r="L26" s="22"/>
      <c r="M26" s="22"/>
      <c r="N26" s="78" t="s">
        <v>129</v>
      </c>
      <c r="O26" s="22"/>
    </row>
    <row r="27" spans="2:15" ht="15" customHeight="1">
      <c r="B27" s="49" t="s">
        <v>105</v>
      </c>
      <c r="C27" s="50">
        <f t="shared" ref="C27" si="2">IF(I27&gt;0,I27,ROUND($C$12*G27,0))</f>
        <v>2920000</v>
      </c>
      <c r="D27" s="51">
        <f t="shared" si="0"/>
        <v>0.01</v>
      </c>
      <c r="E27" s="22"/>
      <c r="F27" s="53" t="s">
        <v>107</v>
      </c>
      <c r="G27" s="27">
        <f>'111 LS CS1'!G27</f>
        <v>0.01</v>
      </c>
      <c r="H27" s="53" t="s">
        <v>97</v>
      </c>
      <c r="I27" s="25">
        <f>'111 LS CS1'!I27</f>
        <v>0</v>
      </c>
      <c r="J27" s="22"/>
      <c r="K27" s="22"/>
      <c r="L27" s="22"/>
      <c r="M27" s="22"/>
      <c r="N27" s="78" t="s">
        <v>129</v>
      </c>
      <c r="O27" s="22"/>
    </row>
    <row r="28" spans="2:15" ht="15" customHeight="1">
      <c r="B28" s="22"/>
      <c r="C28" s="22"/>
      <c r="D28" s="22"/>
      <c r="E28" s="22"/>
      <c r="F28" s="22"/>
      <c r="G28" s="22"/>
      <c r="H28" s="22"/>
      <c r="I28" s="22"/>
      <c r="J28" s="22"/>
      <c r="K28" s="22"/>
      <c r="L28" s="22"/>
      <c r="M28" s="22"/>
      <c r="N28" s="22"/>
      <c r="O28" s="22"/>
    </row>
    <row r="29" spans="2:15" ht="15" customHeight="1">
      <c r="B29" s="54" t="s">
        <v>112</v>
      </c>
      <c r="C29" s="55">
        <f>C12-SUM(C15,C20)</f>
        <v>146029200</v>
      </c>
      <c r="D29" s="56">
        <f>C29/$C$12</f>
        <v>0.50009999999999999</v>
      </c>
      <c r="E29" s="57"/>
      <c r="F29" s="57"/>
      <c r="G29" s="57"/>
      <c r="H29" s="57"/>
      <c r="I29" s="57"/>
      <c r="J29" s="57"/>
      <c r="K29" s="57"/>
      <c r="L29" s="57"/>
      <c r="M29" s="57"/>
      <c r="N29" s="57"/>
      <c r="O29" s="57"/>
    </row>
    <row r="31" spans="2:15" ht="15" customHeight="1">
      <c r="B31" s="21" t="s">
        <v>113</v>
      </c>
      <c r="C31" s="26">
        <f>$C$12*G31</f>
        <v>0</v>
      </c>
      <c r="D31" s="48">
        <f>C31/$C$12</f>
        <v>0</v>
      </c>
      <c r="E31" s="22"/>
      <c r="F31" s="28" t="s">
        <v>107</v>
      </c>
      <c r="G31" s="27">
        <f>'111 LS CS1'!G31</f>
        <v>0</v>
      </c>
      <c r="H31" s="22"/>
      <c r="I31" s="22"/>
      <c r="J31" s="28" t="s">
        <v>130</v>
      </c>
      <c r="K31" s="153" t="str">
        <f>'111 LS CS1'!K31</f>
        <v>-</v>
      </c>
      <c r="L31" s="153"/>
      <c r="M31" s="153"/>
      <c r="N31" s="78" t="s">
        <v>129</v>
      </c>
      <c r="O31" s="22"/>
    </row>
    <row r="32" spans="2:15" ht="15" customHeight="1">
      <c r="B32" s="21" t="s">
        <v>114</v>
      </c>
      <c r="C32" s="26">
        <f t="shared" ref="C32:C33" si="3">$C$12*G32</f>
        <v>0</v>
      </c>
      <c r="D32" s="48">
        <f t="shared" ref="D32:D36" si="4">C32/$C$12</f>
        <v>0</v>
      </c>
      <c r="E32" s="22"/>
      <c r="F32" s="52" t="s">
        <v>107</v>
      </c>
      <c r="G32" s="27">
        <f>'111 LS CS1'!G32</f>
        <v>0</v>
      </c>
      <c r="H32" s="22"/>
      <c r="I32" s="22"/>
      <c r="J32" s="52" t="s">
        <v>131</v>
      </c>
      <c r="K32" s="153" t="str">
        <f>'111 LS CS1'!K32</f>
        <v>-</v>
      </c>
      <c r="L32" s="153"/>
      <c r="M32" s="153"/>
      <c r="N32" s="78" t="s">
        <v>129</v>
      </c>
      <c r="O32" s="22"/>
    </row>
    <row r="33" spans="2:15" ht="15" customHeight="1">
      <c r="B33" s="21" t="s">
        <v>115</v>
      </c>
      <c r="C33" s="26">
        <f t="shared" si="3"/>
        <v>0</v>
      </c>
      <c r="D33" s="48">
        <f t="shared" si="4"/>
        <v>0</v>
      </c>
      <c r="E33" s="22"/>
      <c r="F33" s="53" t="s">
        <v>107</v>
      </c>
      <c r="G33" s="27">
        <f>'111 LS CS1'!G33</f>
        <v>0</v>
      </c>
      <c r="H33" s="22"/>
      <c r="I33" s="22"/>
      <c r="J33" s="52" t="s">
        <v>131</v>
      </c>
      <c r="K33" s="153" t="str">
        <f>'111 LS CS1'!K33</f>
        <v>-</v>
      </c>
      <c r="L33" s="153"/>
      <c r="M33" s="153"/>
      <c r="N33" s="78" t="s">
        <v>129</v>
      </c>
      <c r="O33" s="22"/>
    </row>
    <row r="34" spans="2:15" ht="15" customHeight="1">
      <c r="B34" s="21" t="s">
        <v>116</v>
      </c>
      <c r="C34" s="26">
        <f>I34</f>
        <v>0</v>
      </c>
      <c r="D34" s="48">
        <f t="shared" si="4"/>
        <v>0</v>
      </c>
      <c r="E34" s="22"/>
      <c r="F34" s="22"/>
      <c r="G34" s="22"/>
      <c r="H34" s="28" t="s">
        <v>119</v>
      </c>
      <c r="I34" s="25">
        <f>'111 LS CS1'!I34</f>
        <v>0</v>
      </c>
      <c r="J34" s="52" t="s">
        <v>131</v>
      </c>
      <c r="K34" s="153" t="str">
        <f>'111 LS CS1'!K34</f>
        <v>-</v>
      </c>
      <c r="L34" s="153"/>
      <c r="M34" s="153"/>
      <c r="N34" s="80" t="s">
        <v>126</v>
      </c>
      <c r="O34" s="22"/>
    </row>
    <row r="35" spans="2:15" ht="15" customHeight="1">
      <c r="B35" s="21" t="s">
        <v>117</v>
      </c>
      <c r="C35" s="26">
        <f t="shared" ref="C35:C36" si="5">I35</f>
        <v>0</v>
      </c>
      <c r="D35" s="48">
        <f t="shared" si="4"/>
        <v>0</v>
      </c>
      <c r="E35" s="22"/>
      <c r="F35" s="22"/>
      <c r="G35" s="22"/>
      <c r="H35" s="52" t="s">
        <v>119</v>
      </c>
      <c r="I35" s="25">
        <f>'111 LS CS1'!I35</f>
        <v>0</v>
      </c>
      <c r="J35" s="52" t="s">
        <v>131</v>
      </c>
      <c r="K35" s="153" t="str">
        <f>'111 LS CS1'!K35</f>
        <v>-</v>
      </c>
      <c r="L35" s="153"/>
      <c r="M35" s="153"/>
      <c r="N35" s="80" t="s">
        <v>126</v>
      </c>
      <c r="O35" s="22"/>
    </row>
    <row r="36" spans="2:15" ht="15" customHeight="1">
      <c r="B36" s="21" t="s">
        <v>118</v>
      </c>
      <c r="C36" s="26">
        <f t="shared" si="5"/>
        <v>0</v>
      </c>
      <c r="D36" s="48">
        <f t="shared" si="4"/>
        <v>0</v>
      </c>
      <c r="E36" s="22"/>
      <c r="F36" s="22"/>
      <c r="G36" s="22"/>
      <c r="H36" s="53" t="s">
        <v>119</v>
      </c>
      <c r="I36" s="25">
        <f>'111 LS CS1'!I36</f>
        <v>0</v>
      </c>
      <c r="J36" s="52" t="s">
        <v>131</v>
      </c>
      <c r="K36" s="153" t="str">
        <f>'111 LS CS1'!K36</f>
        <v>-</v>
      </c>
      <c r="L36" s="153"/>
      <c r="M36" s="153"/>
      <c r="N36" s="80" t="s">
        <v>126</v>
      </c>
      <c r="O36" s="22"/>
    </row>
    <row r="38" spans="2:15" ht="15" customHeight="1">
      <c r="B38" s="54" t="s">
        <v>120</v>
      </c>
      <c r="C38" s="55">
        <f>C29-SUM(C31:C36)</f>
        <v>146029200</v>
      </c>
      <c r="D38" s="56">
        <f>C38/$C$12</f>
        <v>0.50009999999999999</v>
      </c>
      <c r="E38" s="57"/>
      <c r="F38" s="57"/>
      <c r="G38" s="57"/>
      <c r="H38" s="57"/>
      <c r="I38" s="57"/>
      <c r="J38" s="57"/>
      <c r="K38" s="57"/>
      <c r="L38" s="57"/>
      <c r="M38" s="57"/>
      <c r="N38" s="57"/>
      <c r="O38" s="57"/>
    </row>
    <row r="42" spans="2:15" ht="15" customHeight="1">
      <c r="B42" s="73" t="s">
        <v>78</v>
      </c>
      <c r="C42" s="21" t="s">
        <v>80</v>
      </c>
      <c r="D42" s="22"/>
      <c r="E42" s="22"/>
      <c r="F42" s="62">
        <f>'111 LS CS1'!F42</f>
        <v>1</v>
      </c>
      <c r="G42" s="63">
        <f>VLOOKUP(F42,C44:J46,8,FALSE)</f>
        <v>20000000</v>
      </c>
      <c r="H42" s="22"/>
      <c r="I42" s="64" t="s">
        <v>98</v>
      </c>
      <c r="J42" s="22"/>
      <c r="K42" s="22"/>
      <c r="L42" s="22"/>
      <c r="M42" s="22"/>
      <c r="N42" s="22"/>
      <c r="O42" s="22"/>
    </row>
    <row r="43" spans="2:15" ht="15" customHeight="1">
      <c r="B43" s="32"/>
      <c r="C43" s="22"/>
      <c r="D43" s="22"/>
      <c r="E43" s="22"/>
      <c r="F43" s="22"/>
      <c r="G43" s="22"/>
      <c r="H43" s="22"/>
      <c r="I43" s="22"/>
      <c r="J43" s="22"/>
      <c r="K43" s="22"/>
      <c r="L43" s="22"/>
      <c r="M43" s="22"/>
      <c r="N43" s="22"/>
      <c r="O43" s="22"/>
    </row>
    <row r="44" spans="2:15" ht="15" customHeight="1">
      <c r="B44" s="32"/>
      <c r="C44" s="22">
        <v>1</v>
      </c>
      <c r="D44" s="22" t="s">
        <v>53</v>
      </c>
      <c r="E44" s="22"/>
      <c r="F44" s="25">
        <f>'111 LS CS1'!F44</f>
        <v>20000000</v>
      </c>
      <c r="G44" s="22"/>
      <c r="H44" s="22"/>
      <c r="I44" s="22"/>
      <c r="J44" s="65">
        <f>F44</f>
        <v>20000000</v>
      </c>
      <c r="K44" s="22"/>
      <c r="L44" s="22"/>
      <c r="M44" s="22"/>
      <c r="N44" s="22"/>
      <c r="O44" s="22"/>
    </row>
    <row r="45" spans="2:15" ht="15" customHeight="1">
      <c r="B45" s="32"/>
      <c r="C45" s="22">
        <v>2</v>
      </c>
      <c r="D45" s="22" t="s">
        <v>54</v>
      </c>
      <c r="E45" s="22"/>
      <c r="F45" s="27">
        <f>'111 LS CS1'!F45</f>
        <v>0.1</v>
      </c>
      <c r="G45" s="22"/>
      <c r="H45" s="22"/>
      <c r="I45" s="22"/>
      <c r="J45" s="65">
        <f>ROUND(F45*C12,0)</f>
        <v>29200000</v>
      </c>
      <c r="K45" s="22"/>
      <c r="L45" s="22"/>
      <c r="M45" s="22"/>
      <c r="N45" s="22"/>
      <c r="O45" s="22"/>
    </row>
    <row r="46" spans="2:15" ht="15" customHeight="1">
      <c r="B46" s="32"/>
      <c r="C46" s="22">
        <v>3</v>
      </c>
      <c r="D46" s="22" t="s">
        <v>55</v>
      </c>
      <c r="E46" s="22"/>
      <c r="F46" s="22"/>
      <c r="G46" s="22"/>
      <c r="H46" s="28" t="s">
        <v>40</v>
      </c>
      <c r="I46" s="66">
        <f>I51+I56/'101 LS LY'!N53</f>
        <v>10</v>
      </c>
      <c r="J46" s="67">
        <f>SUM(J47:J55)</f>
        <v>29970000</v>
      </c>
      <c r="K46" s="22"/>
      <c r="L46" s="22"/>
      <c r="M46" s="22"/>
      <c r="N46" s="22"/>
      <c r="O46" s="22"/>
    </row>
    <row r="47" spans="2:15" ht="15" customHeight="1">
      <c r="B47" s="32"/>
      <c r="C47" s="22"/>
      <c r="D47" s="22"/>
      <c r="E47" s="22" t="s">
        <v>57</v>
      </c>
      <c r="F47" s="30" t="s">
        <v>58</v>
      </c>
      <c r="G47" s="25">
        <f>'111 LS CS1'!G47</f>
        <v>0</v>
      </c>
      <c r="H47" s="30" t="s">
        <v>59</v>
      </c>
      <c r="I47" s="24">
        <f>'111 LS CS1'!I47</f>
        <v>1</v>
      </c>
      <c r="J47" s="68">
        <f>G47*I47</f>
        <v>0</v>
      </c>
      <c r="K47" s="22"/>
      <c r="L47" s="22"/>
      <c r="M47" s="22"/>
      <c r="N47" s="22"/>
      <c r="O47" s="22"/>
    </row>
    <row r="48" spans="2:15" ht="15" customHeight="1">
      <c r="B48" s="32"/>
      <c r="C48" s="22"/>
      <c r="D48" s="22"/>
      <c r="E48" s="22" t="s">
        <v>60</v>
      </c>
      <c r="F48" s="69" t="s">
        <v>109</v>
      </c>
      <c r="G48" s="25">
        <f>'111 LS CS1'!G48</f>
        <v>0</v>
      </c>
      <c r="H48" s="69" t="s">
        <v>108</v>
      </c>
      <c r="I48" s="24">
        <f>'111 LS CS1'!I48</f>
        <v>0</v>
      </c>
      <c r="J48" s="68">
        <f t="shared" ref="J48:J49" si="6">G48*I48</f>
        <v>0</v>
      </c>
      <c r="K48" s="22"/>
      <c r="L48" s="22"/>
      <c r="M48" s="22"/>
      <c r="N48" s="22"/>
      <c r="O48" s="22"/>
    </row>
    <row r="49" spans="2:15" ht="15" customHeight="1">
      <c r="B49" s="32"/>
      <c r="C49" s="22"/>
      <c r="D49" s="22"/>
      <c r="E49" s="22" t="s">
        <v>62</v>
      </c>
      <c r="F49" s="69" t="s">
        <v>109</v>
      </c>
      <c r="G49" s="25">
        <f>'111 LS CS1'!G49</f>
        <v>0</v>
      </c>
      <c r="H49" s="69" t="s">
        <v>108</v>
      </c>
      <c r="I49" s="24">
        <f>'111 LS CS1'!I49</f>
        <v>0</v>
      </c>
      <c r="J49" s="68">
        <f t="shared" si="6"/>
        <v>0</v>
      </c>
      <c r="K49" s="22"/>
      <c r="L49" s="22"/>
      <c r="M49" s="22"/>
      <c r="N49" s="22"/>
      <c r="O49" s="22"/>
    </row>
    <row r="50" spans="2:15" ht="15" customHeight="1">
      <c r="B50" s="32"/>
      <c r="C50" s="22"/>
      <c r="D50" s="22"/>
      <c r="E50" s="22" t="s">
        <v>63</v>
      </c>
      <c r="F50" s="69" t="s">
        <v>109</v>
      </c>
      <c r="G50" s="25">
        <f>'111 LS CS1'!G50</f>
        <v>3330000</v>
      </c>
      <c r="H50" s="69" t="s">
        <v>108</v>
      </c>
      <c r="I50" s="24">
        <f>'111 LS CS1'!I50</f>
        <v>9</v>
      </c>
      <c r="J50" s="68">
        <f>G50*I50</f>
        <v>29970000</v>
      </c>
      <c r="K50" s="22"/>
      <c r="L50" s="22"/>
      <c r="M50" s="22"/>
      <c r="N50" s="22"/>
      <c r="O50" s="22"/>
    </row>
    <row r="51" spans="2:15" ht="15" customHeight="1">
      <c r="B51" s="32"/>
      <c r="C51" s="22"/>
      <c r="D51" s="22"/>
      <c r="E51" s="22"/>
      <c r="F51" s="22"/>
      <c r="G51" s="70"/>
      <c r="H51" s="30" t="s">
        <v>64</v>
      </c>
      <c r="I51" s="71">
        <f>SUM(I47:I50)</f>
        <v>10</v>
      </c>
      <c r="J51" s="72" t="s">
        <v>76</v>
      </c>
      <c r="K51" s="22"/>
      <c r="L51" s="22"/>
      <c r="M51" s="22"/>
      <c r="N51" s="22"/>
      <c r="O51" s="22"/>
    </row>
    <row r="52" spans="2:15" ht="15" customHeight="1">
      <c r="B52" s="32"/>
      <c r="C52" s="22"/>
      <c r="D52" s="22"/>
      <c r="E52" s="22" t="s">
        <v>65</v>
      </c>
      <c r="F52" s="30" t="s">
        <v>66</v>
      </c>
      <c r="G52" s="25">
        <f>'111 LS CS1'!G52</f>
        <v>0</v>
      </c>
      <c r="H52" s="30" t="s">
        <v>67</v>
      </c>
      <c r="I52" s="24">
        <f>'111 LS CS1'!I52</f>
        <v>0</v>
      </c>
      <c r="J52" s="68">
        <f>G52*I52</f>
        <v>0</v>
      </c>
      <c r="K52" s="22"/>
      <c r="L52" s="22"/>
      <c r="M52" s="22"/>
      <c r="N52" s="22"/>
      <c r="O52" s="22"/>
    </row>
    <row r="53" spans="2:15" ht="15" customHeight="1">
      <c r="B53" s="32"/>
      <c r="C53" s="22"/>
      <c r="D53" s="22"/>
      <c r="E53" s="22" t="s">
        <v>68</v>
      </c>
      <c r="F53" s="69" t="s">
        <v>110</v>
      </c>
      <c r="G53" s="25">
        <f>'111 LS CS1'!G53</f>
        <v>0</v>
      </c>
      <c r="H53" s="69" t="s">
        <v>111</v>
      </c>
      <c r="I53" s="24">
        <f>'111 LS CS1'!I53</f>
        <v>0</v>
      </c>
      <c r="J53" s="68">
        <f>G53*I53</f>
        <v>0</v>
      </c>
      <c r="K53" s="22"/>
      <c r="L53" s="22"/>
      <c r="M53" s="22"/>
      <c r="N53" s="22"/>
      <c r="O53" s="22"/>
    </row>
    <row r="54" spans="2:15" ht="15" customHeight="1">
      <c r="B54" s="32"/>
      <c r="C54" s="22"/>
      <c r="D54" s="22"/>
      <c r="E54" s="22" t="s">
        <v>72</v>
      </c>
      <c r="F54" s="69" t="s">
        <v>110</v>
      </c>
      <c r="G54" s="25">
        <f>'111 LS CS1'!G54</f>
        <v>0</v>
      </c>
      <c r="H54" s="69" t="s">
        <v>111</v>
      </c>
      <c r="I54" s="24">
        <f>'111 LS CS1'!I54</f>
        <v>0</v>
      </c>
      <c r="J54" s="68">
        <f>G54*I54</f>
        <v>0</v>
      </c>
      <c r="K54" s="22"/>
      <c r="L54" s="22"/>
      <c r="M54" s="22"/>
      <c r="N54" s="22"/>
      <c r="O54" s="22"/>
    </row>
    <row r="55" spans="2:15" ht="15" customHeight="1">
      <c r="B55" s="32"/>
      <c r="C55" s="22"/>
      <c r="D55" s="22"/>
      <c r="E55" s="22" t="s">
        <v>73</v>
      </c>
      <c r="F55" s="69" t="s">
        <v>110</v>
      </c>
      <c r="G55" s="25">
        <f>'111 LS CS1'!G55</f>
        <v>0</v>
      </c>
      <c r="H55" s="69" t="s">
        <v>111</v>
      </c>
      <c r="I55" s="24">
        <f>'111 LS CS1'!I55</f>
        <v>0</v>
      </c>
      <c r="J55" s="68">
        <f>G55*I55</f>
        <v>0</v>
      </c>
      <c r="K55" s="22"/>
      <c r="L55" s="22"/>
      <c r="M55" s="22"/>
      <c r="N55" s="22"/>
      <c r="O55" s="22"/>
    </row>
    <row r="56" spans="2:15" ht="15" customHeight="1">
      <c r="B56" s="74"/>
      <c r="C56" s="22"/>
      <c r="D56" s="22"/>
      <c r="E56" s="22"/>
      <c r="F56" s="22"/>
      <c r="G56" s="22"/>
      <c r="H56" s="30" t="s">
        <v>64</v>
      </c>
      <c r="I56" s="71">
        <f>SUM(I52:I55)</f>
        <v>0</v>
      </c>
      <c r="J56" s="72" t="s">
        <v>77</v>
      </c>
      <c r="K56" s="22"/>
      <c r="L56" s="74"/>
      <c r="M56" s="74"/>
      <c r="N56" s="74"/>
      <c r="O56" s="74"/>
    </row>
    <row r="58" spans="2:15" ht="15" customHeight="1">
      <c r="B58" s="73" t="s">
        <v>79</v>
      </c>
      <c r="C58" s="21" t="s">
        <v>80</v>
      </c>
      <c r="D58" s="22"/>
      <c r="E58" s="22"/>
      <c r="F58" s="62">
        <f>'111 LS CS1'!F58</f>
        <v>1</v>
      </c>
      <c r="G58" s="63">
        <f>VLOOKUP(F58,C60:N62,12,FALSE)</f>
        <v>3500000</v>
      </c>
      <c r="H58" s="22"/>
      <c r="I58" s="64" t="s">
        <v>81</v>
      </c>
      <c r="J58" s="22"/>
      <c r="K58" s="22"/>
      <c r="L58" s="22"/>
      <c r="M58" s="22"/>
      <c r="N58" s="22"/>
      <c r="O58" s="22"/>
    </row>
    <row r="59" spans="2:15" ht="15" customHeight="1">
      <c r="B59" s="32"/>
      <c r="C59" s="22"/>
      <c r="D59" s="22"/>
      <c r="E59" s="22"/>
      <c r="F59" s="22"/>
      <c r="G59" s="22"/>
      <c r="H59" s="22"/>
      <c r="I59" s="22"/>
      <c r="J59" s="22"/>
      <c r="K59" s="22"/>
      <c r="L59" s="22"/>
      <c r="M59" s="22"/>
      <c r="N59" s="22"/>
      <c r="O59" s="22"/>
    </row>
    <row r="60" spans="2:15" ht="15" customHeight="1">
      <c r="B60" s="32"/>
      <c r="C60" s="22">
        <v>1</v>
      </c>
      <c r="D60" s="22" t="s">
        <v>53</v>
      </c>
      <c r="E60" s="22"/>
      <c r="F60" s="22"/>
      <c r="G60" s="25">
        <f>'111 LS CS1'!G60</f>
        <v>3500000</v>
      </c>
      <c r="H60" s="22"/>
      <c r="I60" s="22"/>
      <c r="J60" s="22"/>
      <c r="K60" s="22"/>
      <c r="L60" s="22"/>
      <c r="M60" s="22"/>
      <c r="N60" s="65">
        <f>G60</f>
        <v>3500000</v>
      </c>
      <c r="O60" s="22"/>
    </row>
    <row r="61" spans="2:15" ht="15" customHeight="1">
      <c r="B61" s="32"/>
      <c r="C61" s="22">
        <v>2</v>
      </c>
      <c r="D61" s="22" t="s">
        <v>54</v>
      </c>
      <c r="E61" s="22"/>
      <c r="F61" s="22"/>
      <c r="G61" s="27">
        <f>'111 LS CS1'!G61</f>
        <v>1.2E-2</v>
      </c>
      <c r="H61" s="22"/>
      <c r="I61" s="22"/>
      <c r="J61" s="22"/>
      <c r="K61" s="22"/>
      <c r="L61" s="22"/>
      <c r="M61" s="22"/>
      <c r="N61" s="65">
        <f>ROUND(G61*C12,0)</f>
        <v>3504000</v>
      </c>
      <c r="O61" s="22"/>
    </row>
    <row r="62" spans="2:15" ht="15" customHeight="1">
      <c r="B62" s="74"/>
      <c r="C62" s="22">
        <v>3</v>
      </c>
      <c r="D62" s="21" t="s">
        <v>82</v>
      </c>
      <c r="E62" s="22"/>
      <c r="F62" s="28" t="s">
        <v>83</v>
      </c>
      <c r="G62" s="25">
        <f>'111 LS CS1'!G62</f>
        <v>2500</v>
      </c>
      <c r="H62" s="28" t="s">
        <v>84</v>
      </c>
      <c r="I62" s="24">
        <f>'111 LS CS1'!I62</f>
        <v>1</v>
      </c>
      <c r="J62" s="28" t="s">
        <v>85</v>
      </c>
      <c r="K62" s="24">
        <f>'111 LS CS1'!K62</f>
        <v>150</v>
      </c>
      <c r="L62" s="28" t="s">
        <v>86</v>
      </c>
      <c r="M62" s="24">
        <f>'111 LS CS1'!M62</f>
        <v>12</v>
      </c>
      <c r="N62" s="65">
        <f>G62*I62*K62*M62</f>
        <v>4500000</v>
      </c>
      <c r="O62" s="22"/>
    </row>
    <row r="64" spans="2:15" ht="15" customHeight="1">
      <c r="B64" s="73" t="s">
        <v>87</v>
      </c>
      <c r="C64" s="21" t="s">
        <v>80</v>
      </c>
      <c r="D64" s="22"/>
      <c r="E64" s="22"/>
      <c r="F64" s="62">
        <f>'111 LS CS1'!F64</f>
        <v>1</v>
      </c>
      <c r="G64" s="63">
        <f>VLOOKUP(F64,C66:N68,12,FALSE)</f>
        <v>10000000</v>
      </c>
      <c r="H64" s="22"/>
      <c r="I64" s="64" t="s">
        <v>81</v>
      </c>
      <c r="J64" s="22"/>
      <c r="K64" s="22"/>
      <c r="L64" s="22"/>
      <c r="M64" s="22"/>
      <c r="N64" s="22"/>
      <c r="O64" s="22"/>
    </row>
    <row r="65" spans="2:15" ht="15" customHeight="1">
      <c r="B65" s="32"/>
      <c r="C65" s="22"/>
      <c r="D65" s="22"/>
      <c r="E65" s="22"/>
      <c r="F65" s="22"/>
      <c r="G65" s="22"/>
      <c r="H65" s="22"/>
      <c r="I65" s="22"/>
      <c r="J65" s="22"/>
      <c r="K65" s="22"/>
      <c r="L65" s="22"/>
      <c r="M65" s="22"/>
      <c r="N65" s="22"/>
      <c r="O65" s="22"/>
    </row>
    <row r="66" spans="2:15" ht="15" customHeight="1">
      <c r="B66" s="32"/>
      <c r="C66" s="22">
        <v>1</v>
      </c>
      <c r="D66" s="22" t="s">
        <v>53</v>
      </c>
      <c r="E66" s="22"/>
      <c r="F66" s="22"/>
      <c r="G66" s="25">
        <f>'111 LS CS1'!G66</f>
        <v>10000000</v>
      </c>
      <c r="H66" s="22"/>
      <c r="I66" s="22"/>
      <c r="J66" s="22"/>
      <c r="K66" s="22"/>
      <c r="L66" s="22"/>
      <c r="M66" s="22"/>
      <c r="N66" s="65">
        <f>G66</f>
        <v>10000000</v>
      </c>
      <c r="O66" s="22"/>
    </row>
    <row r="67" spans="2:15" ht="15" customHeight="1">
      <c r="B67" s="32"/>
      <c r="C67" s="22">
        <v>2</v>
      </c>
      <c r="D67" s="22" t="s">
        <v>54</v>
      </c>
      <c r="E67" s="22"/>
      <c r="F67" s="22"/>
      <c r="G67" s="27">
        <f>'111 LS CS1'!G67</f>
        <v>3.5000000000000003E-2</v>
      </c>
      <c r="H67" s="22"/>
      <c r="I67" s="22"/>
      <c r="J67" s="22"/>
      <c r="K67" s="22"/>
      <c r="L67" s="22"/>
      <c r="M67" s="22"/>
      <c r="N67" s="65">
        <f>ROUND(G67*C12,0)</f>
        <v>10220000</v>
      </c>
      <c r="O67" s="22"/>
    </row>
    <row r="68" spans="2:15" ht="15" customHeight="1">
      <c r="B68" s="74"/>
      <c r="C68" s="22">
        <v>3</v>
      </c>
      <c r="D68" s="21" t="s">
        <v>82</v>
      </c>
      <c r="E68" s="22"/>
      <c r="F68" s="28" t="s">
        <v>83</v>
      </c>
      <c r="G68" s="25">
        <f>'111 LS CS1'!G68</f>
        <v>2500</v>
      </c>
      <c r="H68" s="28" t="s">
        <v>84</v>
      </c>
      <c r="I68" s="24">
        <f>'111 LS CS1'!I68</f>
        <v>7</v>
      </c>
      <c r="J68" s="28" t="s">
        <v>85</v>
      </c>
      <c r="K68" s="24">
        <f>'111 LS CS1'!K68</f>
        <v>365</v>
      </c>
      <c r="L68" s="28" t="s">
        <v>86</v>
      </c>
      <c r="M68" s="24">
        <f>'111 LS CS1'!M68</f>
        <v>2</v>
      </c>
      <c r="N68" s="65">
        <f>G68*I68*K68*M68</f>
        <v>12775000</v>
      </c>
      <c r="O68" s="22"/>
    </row>
    <row r="70" spans="2:15" ht="15" customHeight="1">
      <c r="B70" s="73" t="s">
        <v>137</v>
      </c>
      <c r="C70" s="21" t="s">
        <v>140</v>
      </c>
      <c r="D70" s="22"/>
      <c r="E70" s="22"/>
      <c r="F70" s="62">
        <v>1</v>
      </c>
      <c r="G70" s="63">
        <f>VLOOKUP(F70,C72:N73,12,FALSE)</f>
        <v>32120000</v>
      </c>
      <c r="H70" s="22"/>
      <c r="I70" s="64" t="s">
        <v>81</v>
      </c>
      <c r="J70" s="22"/>
      <c r="K70" s="22"/>
      <c r="L70" s="22"/>
      <c r="M70" s="22"/>
      <c r="N70" s="22"/>
      <c r="O70" s="22"/>
    </row>
    <row r="71" spans="2:15" ht="15" customHeight="1">
      <c r="B71" s="32"/>
      <c r="C71" s="22"/>
      <c r="D71" s="22"/>
      <c r="E71" s="22"/>
      <c r="F71" s="22"/>
      <c r="G71" s="22"/>
      <c r="H71" s="22"/>
      <c r="I71" s="22"/>
      <c r="J71" s="22"/>
      <c r="K71" s="22"/>
      <c r="L71" s="22"/>
      <c r="M71" s="22"/>
      <c r="N71" s="22"/>
      <c r="O71" s="22"/>
    </row>
    <row r="72" spans="2:15" ht="15" customHeight="1">
      <c r="B72" s="32"/>
      <c r="C72" s="22">
        <v>1</v>
      </c>
      <c r="D72" s="21" t="s">
        <v>138</v>
      </c>
      <c r="E72" s="22"/>
      <c r="F72" s="22"/>
      <c r="G72" s="48">
        <f>'101 LS LY'!D24</f>
        <v>0.11</v>
      </c>
      <c r="H72" s="22"/>
      <c r="I72" s="22"/>
      <c r="J72" s="22"/>
      <c r="K72" s="22"/>
      <c r="L72" s="22"/>
      <c r="M72" s="22"/>
      <c r="N72" s="65">
        <f>G72*C12</f>
        <v>32120000</v>
      </c>
      <c r="O72" s="113">
        <f>N72/$C$10</f>
        <v>0.11</v>
      </c>
    </row>
    <row r="73" spans="2:15" ht="15" customHeight="1">
      <c r="B73" s="32"/>
      <c r="C73" s="75">
        <v>2</v>
      </c>
      <c r="D73" s="73" t="s">
        <v>141</v>
      </c>
      <c r="E73" s="75"/>
      <c r="F73" s="1" t="s">
        <v>144</v>
      </c>
      <c r="G73" s="103" t="s">
        <v>167</v>
      </c>
      <c r="H73" s="28" t="s">
        <v>145</v>
      </c>
      <c r="I73" s="82" t="s">
        <v>168</v>
      </c>
      <c r="J73" s="28" t="s">
        <v>38</v>
      </c>
      <c r="K73" s="102" t="s">
        <v>165</v>
      </c>
      <c r="L73" s="103" t="s">
        <v>166</v>
      </c>
      <c r="N73" s="96">
        <f>I99</f>
        <v>36354000</v>
      </c>
      <c r="O73" s="113">
        <f>N73/$C$10</f>
        <v>0.1245</v>
      </c>
    </row>
    <row r="74" spans="2:15" ht="15" customHeight="1">
      <c r="B74" s="32"/>
      <c r="C74" s="22"/>
      <c r="D74" s="22">
        <v>1</v>
      </c>
      <c r="E74" s="78" t="s">
        <v>142</v>
      </c>
      <c r="F74" s="27">
        <f>'111 LS CS1'!F74</f>
        <v>0.1</v>
      </c>
      <c r="G74" s="97">
        <f>ROUND(F74*$J$7,0)</f>
        <v>2920</v>
      </c>
      <c r="H74" s="27">
        <f>'111 LS CS1'!H74</f>
        <v>0.02</v>
      </c>
      <c r="I74" s="63">
        <f>ROUND(H74*L74,0)</f>
        <v>525600</v>
      </c>
      <c r="J74" s="63">
        <f t="shared" ref="J74:J98" si="7">IF(G74&gt;0,IF(K74&gt;0,K74,$C$8),"")</f>
        <v>9000</v>
      </c>
      <c r="K74" s="25">
        <f>'111 LS CS1'!K74</f>
        <v>9000</v>
      </c>
      <c r="L74" s="67">
        <f>IFERROR(J74*G74,0)</f>
        <v>26280000</v>
      </c>
      <c r="M74" s="22"/>
      <c r="N74" s="22"/>
      <c r="O74" s="22"/>
    </row>
    <row r="75" spans="2:15" ht="15" customHeight="1">
      <c r="B75" s="32"/>
      <c r="C75" s="22"/>
      <c r="D75" s="22">
        <v>2</v>
      </c>
      <c r="E75" s="98" t="s">
        <v>148</v>
      </c>
      <c r="F75" s="27">
        <f>'111 LS CS1'!F75</f>
        <v>0</v>
      </c>
      <c r="G75" s="97">
        <f t="shared" ref="G75:G98" si="8">ROUND(F75*$J$7,0)</f>
        <v>0</v>
      </c>
      <c r="H75" s="27">
        <f>'111 LS CS1'!H75</f>
        <v>0</v>
      </c>
      <c r="I75" s="63">
        <f t="shared" ref="I75:I98" si="9">ROUND(H75*L75,0)</f>
        <v>0</v>
      </c>
      <c r="J75" s="63" t="str">
        <f t="shared" si="7"/>
        <v/>
      </c>
      <c r="K75" s="25">
        <f>'111 LS CS1'!K75</f>
        <v>0</v>
      </c>
      <c r="L75" s="67">
        <f t="shared" ref="L75:L87" si="10">IFERROR(J75*G75,0)</f>
        <v>0</v>
      </c>
      <c r="M75" s="22"/>
      <c r="N75" s="22"/>
      <c r="O75" s="22"/>
    </row>
    <row r="76" spans="2:15" ht="15" customHeight="1">
      <c r="B76" s="32"/>
      <c r="C76" s="22"/>
      <c r="D76" s="22">
        <v>3</v>
      </c>
      <c r="E76" s="98" t="s">
        <v>149</v>
      </c>
      <c r="F76" s="27">
        <f>'111 LS CS1'!F76</f>
        <v>0</v>
      </c>
      <c r="G76" s="97">
        <f t="shared" si="8"/>
        <v>0</v>
      </c>
      <c r="H76" s="27">
        <f>'111 LS CS1'!H76</f>
        <v>0</v>
      </c>
      <c r="I76" s="63">
        <f t="shared" si="9"/>
        <v>0</v>
      </c>
      <c r="J76" s="63" t="str">
        <f t="shared" si="7"/>
        <v/>
      </c>
      <c r="K76" s="25">
        <f>'111 LS CS1'!K76</f>
        <v>0</v>
      </c>
      <c r="L76" s="67">
        <f t="shared" si="10"/>
        <v>0</v>
      </c>
      <c r="M76" s="22"/>
      <c r="N76" s="22"/>
      <c r="O76" s="22"/>
    </row>
    <row r="77" spans="2:15" ht="15" customHeight="1">
      <c r="B77" s="32"/>
      <c r="C77" s="22"/>
      <c r="D77" s="22">
        <v>4</v>
      </c>
      <c r="E77" s="98" t="s">
        <v>150</v>
      </c>
      <c r="F77" s="27">
        <f>'111 LS CS1'!F77</f>
        <v>0</v>
      </c>
      <c r="G77" s="97">
        <f t="shared" si="8"/>
        <v>0</v>
      </c>
      <c r="H77" s="27">
        <f>'111 LS CS1'!H77</f>
        <v>0</v>
      </c>
      <c r="I77" s="63">
        <f t="shared" si="9"/>
        <v>0</v>
      </c>
      <c r="J77" s="63" t="str">
        <f t="shared" si="7"/>
        <v/>
      </c>
      <c r="K77" s="25">
        <f>'111 LS CS1'!K77</f>
        <v>0</v>
      </c>
      <c r="L77" s="67">
        <f t="shared" si="10"/>
        <v>0</v>
      </c>
      <c r="M77" s="22"/>
      <c r="N77" s="22"/>
      <c r="O77" s="22"/>
    </row>
    <row r="78" spans="2:15" ht="15" customHeight="1">
      <c r="B78" s="32"/>
      <c r="C78" s="22"/>
      <c r="D78" s="22">
        <v>5</v>
      </c>
      <c r="E78" s="98" t="s">
        <v>156</v>
      </c>
      <c r="F78" s="27">
        <f>'111 LS CS1'!F78</f>
        <v>0.3</v>
      </c>
      <c r="G78" s="97">
        <f t="shared" si="8"/>
        <v>8760</v>
      </c>
      <c r="H78" s="27">
        <f>'111 LS CS1'!H78</f>
        <v>0.1</v>
      </c>
      <c r="I78" s="63">
        <f t="shared" si="9"/>
        <v>8760000</v>
      </c>
      <c r="J78" s="63">
        <f t="shared" si="7"/>
        <v>10000</v>
      </c>
      <c r="K78" s="25">
        <f>'111 LS CS1'!K78</f>
        <v>0</v>
      </c>
      <c r="L78" s="67">
        <f t="shared" si="10"/>
        <v>87600000</v>
      </c>
      <c r="M78" s="22"/>
      <c r="N78" s="22"/>
      <c r="O78" s="22"/>
    </row>
    <row r="79" spans="2:15" ht="15" customHeight="1">
      <c r="B79" s="32"/>
      <c r="C79" s="22"/>
      <c r="D79" s="22">
        <v>6</v>
      </c>
      <c r="E79" s="80" t="s">
        <v>151</v>
      </c>
      <c r="F79" s="27">
        <f>'111 LS CS1'!F79</f>
        <v>0</v>
      </c>
      <c r="G79" s="97">
        <f t="shared" si="8"/>
        <v>0</v>
      </c>
      <c r="H79" s="27">
        <f>'111 LS CS1'!H79</f>
        <v>0</v>
      </c>
      <c r="I79" s="63">
        <f t="shared" si="9"/>
        <v>0</v>
      </c>
      <c r="J79" s="63" t="str">
        <f t="shared" si="7"/>
        <v/>
      </c>
      <c r="K79" s="25">
        <f>'111 LS CS1'!K79</f>
        <v>0</v>
      </c>
      <c r="L79" s="67">
        <f t="shared" si="10"/>
        <v>0</v>
      </c>
      <c r="M79" s="22"/>
      <c r="N79" s="22"/>
      <c r="O79" s="22"/>
    </row>
    <row r="80" spans="2:15" ht="15" customHeight="1">
      <c r="B80" s="32"/>
      <c r="C80" s="22"/>
      <c r="D80" s="22">
        <v>7</v>
      </c>
      <c r="E80" s="80" t="s">
        <v>152</v>
      </c>
      <c r="F80" s="27">
        <f>'111 LS CS1'!F80</f>
        <v>0</v>
      </c>
      <c r="G80" s="97">
        <f t="shared" si="8"/>
        <v>0</v>
      </c>
      <c r="H80" s="27">
        <f>'111 LS CS1'!H80</f>
        <v>0</v>
      </c>
      <c r="I80" s="63">
        <f t="shared" si="9"/>
        <v>0</v>
      </c>
      <c r="J80" s="63" t="str">
        <f t="shared" si="7"/>
        <v/>
      </c>
      <c r="K80" s="25">
        <f>'111 LS CS1'!K80</f>
        <v>0</v>
      </c>
      <c r="L80" s="67">
        <f t="shared" si="10"/>
        <v>0</v>
      </c>
      <c r="M80" s="22"/>
      <c r="N80" s="22"/>
      <c r="O80" s="22"/>
    </row>
    <row r="81" spans="2:15" ht="15" customHeight="1">
      <c r="B81" s="32"/>
      <c r="C81" s="22"/>
      <c r="D81" s="22">
        <v>8</v>
      </c>
      <c r="E81" s="80" t="s">
        <v>153</v>
      </c>
      <c r="F81" s="27">
        <f>'111 LS CS1'!F81</f>
        <v>0</v>
      </c>
      <c r="G81" s="97">
        <f t="shared" si="8"/>
        <v>0</v>
      </c>
      <c r="H81" s="27">
        <f>'111 LS CS1'!H81</f>
        <v>0</v>
      </c>
      <c r="I81" s="63">
        <f t="shared" si="9"/>
        <v>0</v>
      </c>
      <c r="J81" s="63" t="str">
        <f t="shared" si="7"/>
        <v/>
      </c>
      <c r="K81" s="25">
        <f>'111 LS CS1'!K81</f>
        <v>0</v>
      </c>
      <c r="L81" s="67">
        <f t="shared" si="10"/>
        <v>0</v>
      </c>
      <c r="M81" s="22"/>
      <c r="N81" s="22"/>
      <c r="O81" s="22"/>
    </row>
    <row r="82" spans="2:15" ht="15" customHeight="1">
      <c r="B82" s="32"/>
      <c r="C82" s="22"/>
      <c r="D82" s="22">
        <v>9</v>
      </c>
      <c r="E82" s="80" t="s">
        <v>154</v>
      </c>
      <c r="F82" s="27">
        <f>'111 LS CS1'!F82</f>
        <v>0</v>
      </c>
      <c r="G82" s="97">
        <f t="shared" si="8"/>
        <v>0</v>
      </c>
      <c r="H82" s="27">
        <f>'111 LS CS1'!H82</f>
        <v>0</v>
      </c>
      <c r="I82" s="63">
        <f t="shared" si="9"/>
        <v>0</v>
      </c>
      <c r="J82" s="63" t="str">
        <f t="shared" si="7"/>
        <v/>
      </c>
      <c r="K82" s="25">
        <f>'111 LS CS1'!K82</f>
        <v>0</v>
      </c>
      <c r="L82" s="67">
        <f t="shared" si="10"/>
        <v>0</v>
      </c>
      <c r="M82" s="22"/>
      <c r="N82" s="22"/>
      <c r="O82" s="22"/>
    </row>
    <row r="83" spans="2:15" ht="15" customHeight="1">
      <c r="B83" s="32"/>
      <c r="C83" s="22"/>
      <c r="D83" s="22">
        <v>10</v>
      </c>
      <c r="E83" s="80" t="s">
        <v>155</v>
      </c>
      <c r="F83" s="27">
        <f>'111 LS CS1'!F83</f>
        <v>0.2</v>
      </c>
      <c r="G83" s="97">
        <f t="shared" si="8"/>
        <v>5840</v>
      </c>
      <c r="H83" s="27">
        <f>'111 LS CS1'!H83</f>
        <v>0.19</v>
      </c>
      <c r="I83" s="63">
        <f t="shared" si="9"/>
        <v>13315200</v>
      </c>
      <c r="J83" s="63">
        <f t="shared" si="7"/>
        <v>12000</v>
      </c>
      <c r="K83" s="25">
        <f>'111 LS CS1'!K83</f>
        <v>12000</v>
      </c>
      <c r="L83" s="67">
        <f t="shared" si="10"/>
        <v>70080000</v>
      </c>
      <c r="M83" s="22"/>
      <c r="N83" s="22"/>
      <c r="O83" s="22"/>
    </row>
    <row r="84" spans="2:15" ht="15" customHeight="1">
      <c r="B84" s="32"/>
      <c r="C84" s="22"/>
      <c r="D84" s="22">
        <v>11</v>
      </c>
      <c r="E84" s="80" t="s">
        <v>158</v>
      </c>
      <c r="F84" s="27">
        <f>'111 LS CS1'!F84</f>
        <v>0.1</v>
      </c>
      <c r="G84" s="97">
        <f t="shared" si="8"/>
        <v>2920</v>
      </c>
      <c r="H84" s="27">
        <f>'111 LS CS1'!H84</f>
        <v>0.16</v>
      </c>
      <c r="I84" s="63">
        <f t="shared" si="9"/>
        <v>4672000</v>
      </c>
      <c r="J84" s="63">
        <f t="shared" si="7"/>
        <v>10000</v>
      </c>
      <c r="K84" s="25">
        <f>'111 LS CS1'!K84</f>
        <v>0</v>
      </c>
      <c r="L84" s="67">
        <f t="shared" si="10"/>
        <v>29200000</v>
      </c>
      <c r="M84" s="22"/>
      <c r="N84" s="22"/>
      <c r="O84" s="22"/>
    </row>
    <row r="85" spans="2:15" ht="15" customHeight="1">
      <c r="B85" s="32"/>
      <c r="C85" s="22"/>
      <c r="D85" s="22">
        <v>12</v>
      </c>
      <c r="E85" s="80" t="s">
        <v>157</v>
      </c>
      <c r="F85" s="27">
        <f>'111 LS CS1'!F85</f>
        <v>0</v>
      </c>
      <c r="G85" s="97">
        <f t="shared" si="8"/>
        <v>0</v>
      </c>
      <c r="H85" s="27">
        <f>'111 LS CS1'!H85</f>
        <v>0</v>
      </c>
      <c r="I85" s="63">
        <f t="shared" si="9"/>
        <v>0</v>
      </c>
      <c r="J85" s="63" t="str">
        <f t="shared" si="7"/>
        <v/>
      </c>
      <c r="K85" s="25">
        <f>'111 LS CS1'!K85</f>
        <v>0</v>
      </c>
      <c r="L85" s="67">
        <f t="shared" si="10"/>
        <v>0</v>
      </c>
      <c r="M85" s="22"/>
      <c r="N85" s="22"/>
      <c r="O85" s="22"/>
    </row>
    <row r="86" spans="2:15" ht="15" customHeight="1">
      <c r="B86" s="32"/>
      <c r="C86" s="22"/>
      <c r="D86" s="22">
        <v>13</v>
      </c>
      <c r="E86" s="99" t="str">
        <f>'111 LS CS1'!E86</f>
        <v>‐</v>
      </c>
      <c r="F86" s="27">
        <f>'111 LS CS1'!F86</f>
        <v>0</v>
      </c>
      <c r="G86" s="97">
        <f t="shared" si="8"/>
        <v>0</v>
      </c>
      <c r="H86" s="27">
        <f>'111 LS CS1'!H86</f>
        <v>0</v>
      </c>
      <c r="I86" s="63">
        <f t="shared" si="9"/>
        <v>0</v>
      </c>
      <c r="J86" s="63" t="str">
        <f t="shared" si="7"/>
        <v/>
      </c>
      <c r="K86" s="25">
        <f>'111 LS CS1'!K86</f>
        <v>0</v>
      </c>
      <c r="L86" s="67">
        <f t="shared" si="10"/>
        <v>0</v>
      </c>
      <c r="M86" s="22"/>
      <c r="N86" s="22"/>
      <c r="O86" s="22"/>
    </row>
    <row r="87" spans="2:15" ht="15" customHeight="1">
      <c r="B87" s="32"/>
      <c r="C87" s="22"/>
      <c r="D87" s="22">
        <v>14</v>
      </c>
      <c r="E87" s="99" t="str">
        <f>'111 LS CS1'!E87</f>
        <v>‐</v>
      </c>
      <c r="F87" s="27">
        <f>'111 LS CS1'!F87</f>
        <v>0</v>
      </c>
      <c r="G87" s="97">
        <f t="shared" si="8"/>
        <v>0</v>
      </c>
      <c r="H87" s="27">
        <f>'111 LS CS1'!H87</f>
        <v>0</v>
      </c>
      <c r="I87" s="63">
        <f t="shared" si="9"/>
        <v>0</v>
      </c>
      <c r="J87" s="63" t="str">
        <f t="shared" si="7"/>
        <v/>
      </c>
      <c r="K87" s="25">
        <f>'111 LS CS1'!K87</f>
        <v>0</v>
      </c>
      <c r="L87" s="67">
        <f t="shared" si="10"/>
        <v>0</v>
      </c>
      <c r="M87" s="22"/>
      <c r="N87" s="22"/>
      <c r="O87" s="22"/>
    </row>
    <row r="88" spans="2:15" ht="15" customHeight="1">
      <c r="B88" s="32"/>
      <c r="C88" s="22"/>
      <c r="D88" s="108">
        <v>15</v>
      </c>
      <c r="E88" s="108" t="str">
        <f>'111 LS CS1'!E88</f>
        <v>個人　その他</v>
      </c>
      <c r="F88" s="111">
        <f>'111 LS CS1'!F88</f>
        <v>9.9999999999999867E-2</v>
      </c>
      <c r="G88" s="109">
        <f>J7-SUM(G74:G87,G89:G98)</f>
        <v>2920</v>
      </c>
      <c r="H88" s="27">
        <f>'111 LS CS1'!H88</f>
        <v>0.05</v>
      </c>
      <c r="I88" s="110">
        <f t="shared" si="9"/>
        <v>1606000</v>
      </c>
      <c r="J88" s="112">
        <f>IFERROR(L88/G88,"Error")</f>
        <v>11000</v>
      </c>
      <c r="K88" s="25">
        <f>'111 LS CS1'!K88</f>
        <v>0</v>
      </c>
      <c r="L88" s="101">
        <f>C10-SUM(L74:L87,L89:L98)</f>
        <v>32120000</v>
      </c>
      <c r="M88" s="108"/>
      <c r="N88" s="108"/>
      <c r="O88" s="108"/>
    </row>
    <row r="89" spans="2:15" ht="15" customHeight="1">
      <c r="B89" s="32"/>
      <c r="C89" s="22"/>
      <c r="D89" s="22">
        <v>16</v>
      </c>
      <c r="E89" s="99" t="str">
        <f>'111 LS CS1'!E89</f>
        <v>団体　国内募集旅行</v>
      </c>
      <c r="F89" s="27">
        <f>'111 LS CS1'!F89</f>
        <v>0</v>
      </c>
      <c r="G89" s="97">
        <f t="shared" si="8"/>
        <v>0</v>
      </c>
      <c r="H89" s="27">
        <f>'111 LS CS1'!H89</f>
        <v>0</v>
      </c>
      <c r="I89" s="63">
        <f t="shared" si="9"/>
        <v>0</v>
      </c>
      <c r="J89" s="63" t="str">
        <f t="shared" si="7"/>
        <v/>
      </c>
      <c r="K89" s="25">
        <f>'111 LS CS1'!K89</f>
        <v>0</v>
      </c>
      <c r="L89" s="67">
        <f t="shared" ref="L89:L98" si="11">IFERROR(J89*G89,0)</f>
        <v>0</v>
      </c>
      <c r="M89" s="22"/>
      <c r="N89" s="22"/>
      <c r="O89" s="22"/>
    </row>
    <row r="90" spans="2:15" ht="15" customHeight="1">
      <c r="B90" s="32"/>
      <c r="C90" s="22"/>
      <c r="D90" s="22">
        <v>17</v>
      </c>
      <c r="E90" s="99" t="str">
        <f>'111 LS CS1'!E90</f>
        <v>団体　国内その他</v>
      </c>
      <c r="F90" s="27">
        <f>'111 LS CS1'!F90</f>
        <v>0.2</v>
      </c>
      <c r="G90" s="97">
        <f t="shared" si="8"/>
        <v>5840</v>
      </c>
      <c r="H90" s="27">
        <f>'111 LS CS1'!H90</f>
        <v>0.16</v>
      </c>
      <c r="I90" s="63">
        <f t="shared" si="9"/>
        <v>7475200</v>
      </c>
      <c r="J90" s="63">
        <f t="shared" si="7"/>
        <v>8000</v>
      </c>
      <c r="K90" s="25">
        <f>'111 LS CS1'!K90</f>
        <v>8000</v>
      </c>
      <c r="L90" s="67">
        <f t="shared" si="11"/>
        <v>46720000</v>
      </c>
      <c r="M90" s="22"/>
      <c r="N90" s="22"/>
      <c r="O90" s="22"/>
    </row>
    <row r="91" spans="2:15" ht="15" customHeight="1">
      <c r="B91" s="32"/>
      <c r="C91" s="22"/>
      <c r="D91" s="22">
        <v>18</v>
      </c>
      <c r="E91" s="99" t="str">
        <f>'111 LS CS1'!E91</f>
        <v>団体　インバウンド　</v>
      </c>
      <c r="F91" s="27">
        <f>'111 LS CS1'!F91</f>
        <v>0</v>
      </c>
      <c r="G91" s="97">
        <f t="shared" si="8"/>
        <v>0</v>
      </c>
      <c r="H91" s="27">
        <f>'111 LS CS1'!H91</f>
        <v>0</v>
      </c>
      <c r="I91" s="63">
        <f t="shared" si="9"/>
        <v>0</v>
      </c>
      <c r="J91" s="63" t="str">
        <f t="shared" si="7"/>
        <v/>
      </c>
      <c r="K91" s="25">
        <f>'111 LS CS1'!K91</f>
        <v>0</v>
      </c>
      <c r="L91" s="67">
        <f t="shared" si="11"/>
        <v>0</v>
      </c>
      <c r="M91" s="22"/>
      <c r="N91" s="22"/>
      <c r="O91" s="22"/>
    </row>
    <row r="92" spans="2:15" ht="15" customHeight="1">
      <c r="B92" s="32"/>
      <c r="C92" s="22"/>
      <c r="D92" s="22">
        <v>19</v>
      </c>
      <c r="E92" s="99" t="str">
        <f>'111 LS CS1'!E92</f>
        <v>団体　インバウンド　</v>
      </c>
      <c r="F92" s="27">
        <f>'111 LS CS1'!F92</f>
        <v>0</v>
      </c>
      <c r="G92" s="97">
        <f t="shared" si="8"/>
        <v>0</v>
      </c>
      <c r="H92" s="27">
        <f>'111 LS CS1'!H92</f>
        <v>0</v>
      </c>
      <c r="I92" s="63">
        <f t="shared" si="9"/>
        <v>0</v>
      </c>
      <c r="J92" s="63" t="str">
        <f t="shared" si="7"/>
        <v/>
      </c>
      <c r="K92" s="25">
        <f>'111 LS CS1'!K92</f>
        <v>0</v>
      </c>
      <c r="L92" s="67">
        <f t="shared" si="11"/>
        <v>0</v>
      </c>
      <c r="M92" s="22"/>
      <c r="N92" s="22"/>
      <c r="O92" s="22"/>
    </row>
    <row r="93" spans="2:15" ht="15" customHeight="1">
      <c r="B93" s="32"/>
      <c r="C93" s="22"/>
      <c r="D93" s="22">
        <v>20</v>
      </c>
      <c r="E93" s="99" t="str">
        <f>'111 LS CS1'!E93</f>
        <v>‐</v>
      </c>
      <c r="F93" s="27">
        <f>'111 LS CS1'!F93</f>
        <v>0</v>
      </c>
      <c r="G93" s="97">
        <f t="shared" si="8"/>
        <v>0</v>
      </c>
      <c r="H93" s="27">
        <f>'111 LS CS1'!H93</f>
        <v>0</v>
      </c>
      <c r="I93" s="63">
        <f t="shared" si="9"/>
        <v>0</v>
      </c>
      <c r="J93" s="63" t="str">
        <f t="shared" si="7"/>
        <v/>
      </c>
      <c r="K93" s="25">
        <f>'111 LS CS1'!K93</f>
        <v>0</v>
      </c>
      <c r="L93" s="67">
        <f t="shared" si="11"/>
        <v>0</v>
      </c>
      <c r="M93" s="22"/>
      <c r="N93" s="22"/>
      <c r="O93" s="22"/>
    </row>
    <row r="94" spans="2:15" ht="15" customHeight="1">
      <c r="B94" s="32"/>
      <c r="C94" s="22"/>
      <c r="D94" s="22">
        <v>21</v>
      </c>
      <c r="E94" s="99" t="str">
        <f>'111 LS CS1'!E94</f>
        <v>‐</v>
      </c>
      <c r="F94" s="27">
        <f>'111 LS CS1'!F94</f>
        <v>0</v>
      </c>
      <c r="G94" s="97">
        <f t="shared" si="8"/>
        <v>0</v>
      </c>
      <c r="H94" s="27">
        <f>'111 LS CS1'!H94</f>
        <v>0</v>
      </c>
      <c r="I94" s="63">
        <f t="shared" si="9"/>
        <v>0</v>
      </c>
      <c r="J94" s="63" t="str">
        <f t="shared" si="7"/>
        <v/>
      </c>
      <c r="K94" s="25">
        <f>'111 LS CS1'!K94</f>
        <v>0</v>
      </c>
      <c r="L94" s="67">
        <f t="shared" si="11"/>
        <v>0</v>
      </c>
      <c r="M94" s="22"/>
      <c r="N94" s="22"/>
      <c r="O94" s="22"/>
    </row>
    <row r="95" spans="2:15" ht="15" customHeight="1">
      <c r="B95" s="32"/>
      <c r="C95" s="22"/>
      <c r="D95" s="22">
        <v>22</v>
      </c>
      <c r="E95" s="99" t="str">
        <f>'111 LS CS1'!E95</f>
        <v>‐</v>
      </c>
      <c r="F95" s="27">
        <f>'111 LS CS1'!F95</f>
        <v>0</v>
      </c>
      <c r="G95" s="97">
        <f t="shared" si="8"/>
        <v>0</v>
      </c>
      <c r="H95" s="27">
        <f>'111 LS CS1'!H95</f>
        <v>0</v>
      </c>
      <c r="I95" s="63">
        <f t="shared" si="9"/>
        <v>0</v>
      </c>
      <c r="J95" s="63" t="str">
        <f t="shared" si="7"/>
        <v/>
      </c>
      <c r="K95" s="25">
        <f>'111 LS CS1'!K95</f>
        <v>0</v>
      </c>
      <c r="L95" s="67">
        <f t="shared" si="11"/>
        <v>0</v>
      </c>
      <c r="M95" s="22"/>
      <c r="N95" s="22"/>
      <c r="O95" s="22"/>
    </row>
    <row r="96" spans="2:15" ht="15" customHeight="1">
      <c r="B96" s="32"/>
      <c r="C96" s="22"/>
      <c r="D96" s="22">
        <v>23</v>
      </c>
      <c r="E96" s="99" t="str">
        <f>'111 LS CS1'!E96</f>
        <v>‐</v>
      </c>
      <c r="F96" s="27">
        <f>'111 LS CS1'!F96</f>
        <v>0</v>
      </c>
      <c r="G96" s="97">
        <f t="shared" si="8"/>
        <v>0</v>
      </c>
      <c r="H96" s="27">
        <f>'111 LS CS1'!H96</f>
        <v>0</v>
      </c>
      <c r="I96" s="63">
        <f t="shared" si="9"/>
        <v>0</v>
      </c>
      <c r="J96" s="63" t="str">
        <f t="shared" si="7"/>
        <v/>
      </c>
      <c r="K96" s="25">
        <f>'111 LS CS1'!K96</f>
        <v>0</v>
      </c>
      <c r="L96" s="67">
        <f t="shared" si="11"/>
        <v>0</v>
      </c>
      <c r="M96" s="22"/>
      <c r="N96" s="22"/>
      <c r="O96" s="22"/>
    </row>
    <row r="97" spans="1:15" ht="15" customHeight="1">
      <c r="B97" s="32"/>
      <c r="C97" s="22"/>
      <c r="D97" s="22">
        <v>24</v>
      </c>
      <c r="E97" s="99" t="str">
        <f>'111 LS CS1'!E97</f>
        <v>‐</v>
      </c>
      <c r="F97" s="27">
        <f>'111 LS CS1'!F97</f>
        <v>0</v>
      </c>
      <c r="G97" s="97">
        <f t="shared" si="8"/>
        <v>0</v>
      </c>
      <c r="H97" s="27">
        <f>'111 LS CS1'!H97</f>
        <v>0</v>
      </c>
      <c r="I97" s="63">
        <f t="shared" si="9"/>
        <v>0</v>
      </c>
      <c r="J97" s="63" t="str">
        <f t="shared" si="7"/>
        <v/>
      </c>
      <c r="K97" s="25">
        <f>'111 LS CS1'!K97</f>
        <v>0</v>
      </c>
      <c r="L97" s="67">
        <f t="shared" si="11"/>
        <v>0</v>
      </c>
      <c r="M97" s="22"/>
      <c r="N97" s="22"/>
      <c r="O97" s="22"/>
    </row>
    <row r="98" spans="1:15" ht="15" customHeight="1">
      <c r="B98" s="32"/>
      <c r="C98" s="22"/>
      <c r="D98" s="22">
        <v>25</v>
      </c>
      <c r="E98" s="100" t="s">
        <v>164</v>
      </c>
      <c r="F98" s="27">
        <f>'111 LS CS1'!F98</f>
        <v>0</v>
      </c>
      <c r="G98" s="97">
        <f t="shared" si="8"/>
        <v>0</v>
      </c>
      <c r="H98" s="27">
        <f>'111 LS CS1'!H98</f>
        <v>0</v>
      </c>
      <c r="I98" s="63">
        <f t="shared" si="9"/>
        <v>0</v>
      </c>
      <c r="J98" s="63" t="str">
        <f t="shared" si="7"/>
        <v/>
      </c>
      <c r="K98" s="25">
        <f>'111 LS CS1'!K98</f>
        <v>0</v>
      </c>
      <c r="L98" s="67">
        <f t="shared" si="11"/>
        <v>0</v>
      </c>
      <c r="M98" s="22"/>
      <c r="N98" s="22"/>
      <c r="O98" s="22"/>
    </row>
    <row r="99" spans="1:15" ht="15" customHeight="1">
      <c r="B99" s="74"/>
      <c r="C99" s="22"/>
      <c r="D99" s="21"/>
      <c r="E99" s="21"/>
      <c r="F99" s="104">
        <f>SUM(F74:F98)</f>
        <v>1</v>
      </c>
      <c r="G99" s="97">
        <f>SUM(G74:G98)</f>
        <v>29200</v>
      </c>
      <c r="H99" s="107">
        <f>IFERROR(I99/L99,0)</f>
        <v>0.1245</v>
      </c>
      <c r="I99" s="106">
        <f>SUM(I74:I98)</f>
        <v>36354000</v>
      </c>
      <c r="J99" s="105">
        <f>C8</f>
        <v>10000</v>
      </c>
      <c r="K99" s="22"/>
      <c r="L99" s="26">
        <f>SUM(L74:L98)</f>
        <v>292000000</v>
      </c>
      <c r="M99" s="28"/>
      <c r="N99" s="28"/>
      <c r="O99" s="22"/>
    </row>
    <row r="100" spans="1:15" ht="15" customHeight="1">
      <c r="A100"/>
      <c r="B100"/>
      <c r="C100"/>
      <c r="D100"/>
      <c r="E100"/>
      <c r="F100"/>
      <c r="G100"/>
      <c r="H100"/>
      <c r="I100"/>
      <c r="J100"/>
      <c r="K100"/>
      <c r="L100"/>
      <c r="M100"/>
      <c r="N100"/>
      <c r="O100"/>
    </row>
    <row r="101" spans="1:15" ht="15" customHeight="1">
      <c r="D101" s="7" t="s">
        <v>146</v>
      </c>
    </row>
    <row r="102" spans="1:15" ht="15" customHeight="1">
      <c r="D102" s="7" t="s">
        <v>147</v>
      </c>
    </row>
  </sheetData>
  <mergeCells count="7">
    <mergeCell ref="K36:M36"/>
    <mergeCell ref="C4:G4"/>
    <mergeCell ref="K31:M31"/>
    <mergeCell ref="K32:M32"/>
    <mergeCell ref="K33:M33"/>
    <mergeCell ref="K34:M34"/>
    <mergeCell ref="K35:M35"/>
  </mergeCells>
  <phoneticPr fontId="3"/>
  <conditionalFormatting sqref="D16:D19 D21:D27">
    <cfRule type="dataBar" priority="4">
      <dataBar>
        <cfvo type="min"/>
        <cfvo type="max"/>
        <color rgb="FF638EC6"/>
      </dataBar>
      <extLst>
        <ext xmlns:x14="http://schemas.microsoft.com/office/spreadsheetml/2009/9/main" uri="{B025F937-C7B1-47D3-B67F-A62EFF666E3E}">
          <x14:id>{C43C8764-A1FC-4034-B938-51AF05E5CBB0}</x14:id>
        </ext>
      </extLst>
    </cfRule>
  </conditionalFormatting>
  <conditionalFormatting sqref="F99">
    <cfRule type="cellIs" dxfId="1" priority="3" operator="notEqual">
      <formula>1</formula>
    </cfRule>
  </conditionalFormatting>
  <conditionalFormatting sqref="G74:G98">
    <cfRule type="dataBar" priority="2">
      <dataBar>
        <cfvo type="min"/>
        <cfvo type="max"/>
        <color rgb="FF63C384"/>
      </dataBar>
      <extLst>
        <ext xmlns:x14="http://schemas.microsoft.com/office/spreadsheetml/2009/9/main" uri="{B025F937-C7B1-47D3-B67F-A62EFF666E3E}">
          <x14:id>{21C20CC0-C52D-4711-9E73-8B9696D690F9}</x14:id>
        </ext>
      </extLst>
    </cfRule>
  </conditionalFormatting>
  <conditionalFormatting sqref="J74:J98">
    <cfRule type="dataBar" priority="5">
      <dataBar>
        <cfvo type="min"/>
        <cfvo type="max"/>
        <color rgb="FFFF555A"/>
      </dataBar>
      <extLst>
        <ext xmlns:x14="http://schemas.microsoft.com/office/spreadsheetml/2009/9/main" uri="{B025F937-C7B1-47D3-B67F-A62EFF666E3E}">
          <x14:id>{4501DDB1-771B-45EC-A333-F1700E1E2AA0}</x14:id>
        </ext>
      </extLst>
    </cfRule>
  </conditionalFormatting>
  <conditionalFormatting sqref="J88">
    <cfRule type="containsText" dxfId="0" priority="1" operator="containsText" text="Error">
      <formula>NOT(ISERROR(SEARCH("Error",J88)))</formula>
    </cfRule>
  </conditionalFormatting>
  <dataValidations count="3">
    <dataValidation imeMode="off" allowBlank="1" showInputMessage="1" showErrorMessage="1" sqref="G31:G33 G7 L7 C11 I34:I36 F44:F45 I47:I50 G47:G50 I52:I55 G52:G55 E7:E8 G60:G62 I62 K62 M62 G66:G68 I68 K68 M68 G19 I19 J21:J23 L23 K74:K98 F89:F98 F74:F87 H74:H98 J25 G26:G27 I26:I27" xr:uid="{D09D25DC-ACAD-41D2-92DA-E74E8041E88A}"/>
    <dataValidation type="list" allowBlank="1" showInputMessage="1" showErrorMessage="1" sqref="F42 F58 F64" xr:uid="{AD6B4194-5EDD-4162-86FF-600A8C1D3A3B}">
      <formula1>"1,2,3"</formula1>
    </dataValidation>
    <dataValidation type="list" allowBlank="1" showInputMessage="1" showErrorMessage="1" sqref="F70" xr:uid="{6A6156D5-D716-4988-B931-1036CC7CEE92}">
      <formula1>"1,2"</formula1>
    </dataValidation>
  </dataValidations>
  <hyperlinks>
    <hyperlink ref="A1" location="index!A1" display="&lt;&lt;" xr:uid="{9AF217FA-EE56-49D4-868B-D419621AAE36}"/>
  </hyperlinks>
  <pageMargins left="0.70866141732283472" right="0.70866141732283472" top="0.74803149606299213" bottom="0.74803149606299213" header="0.31496062992125984" footer="0.31496062992125984"/>
  <pageSetup paperSize="9" scale="98"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C43C8764-A1FC-4034-B938-51AF05E5CBB0}">
            <x14:dataBar minLength="0" maxLength="100" border="1" negativeBarBorderColorSameAsPositive="0">
              <x14:cfvo type="autoMin"/>
              <x14:cfvo type="autoMax"/>
              <x14:borderColor rgb="FF638EC6"/>
              <x14:negativeFillColor rgb="FFFF0000"/>
              <x14:negativeBorderColor rgb="FFFF0000"/>
              <x14:axisColor rgb="FF000000"/>
            </x14:dataBar>
          </x14:cfRule>
          <xm:sqref>D16:D19 D21:D27</xm:sqref>
        </x14:conditionalFormatting>
        <x14:conditionalFormatting xmlns:xm="http://schemas.microsoft.com/office/excel/2006/main">
          <x14:cfRule type="dataBar" id="{21C20CC0-C52D-4711-9E73-8B9696D690F9}">
            <x14:dataBar minLength="0" maxLength="100" border="1" negativeBarBorderColorSameAsPositive="0">
              <x14:cfvo type="autoMin"/>
              <x14:cfvo type="autoMax"/>
              <x14:borderColor rgb="FF63C384"/>
              <x14:negativeFillColor rgb="FFFF0000"/>
              <x14:negativeBorderColor rgb="FFFF0000"/>
              <x14:axisColor rgb="FF000000"/>
            </x14:dataBar>
          </x14:cfRule>
          <xm:sqref>G74:G98</xm:sqref>
        </x14:conditionalFormatting>
        <x14:conditionalFormatting xmlns:xm="http://schemas.microsoft.com/office/excel/2006/main">
          <x14:cfRule type="dataBar" id="{4501DDB1-771B-45EC-A333-F1700E1E2AA0}">
            <x14:dataBar minLength="0" maxLength="100" border="1" negativeBarBorderColorSameAsPositive="0">
              <x14:cfvo type="autoMin"/>
              <x14:cfvo type="autoMax"/>
              <x14:borderColor rgb="FFFF555A"/>
              <x14:negativeFillColor rgb="FFFF0000"/>
              <x14:negativeBorderColor rgb="FFFF0000"/>
              <x14:axisColor rgb="FF000000"/>
            </x14:dataBar>
          </x14:cfRule>
          <xm:sqref>J74:J98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index</vt:lpstr>
      <vt:lpstr>Summary</vt:lpstr>
      <vt:lpstr>101 LS LY</vt:lpstr>
      <vt:lpstr>111 LS CS1</vt:lpstr>
      <vt:lpstr>112 LS CS2</vt:lpstr>
      <vt:lpstr>113 LS CS3</vt:lpstr>
      <vt:lpstr>114 LS CS4</vt:lpstr>
      <vt:lpstr>115 LS CS5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Hiroaki Horiguchi / AOUDO</dc:creator>
  <cp:lastModifiedBy>堀口洋明</cp:lastModifiedBy>
  <cp:lastPrinted>2012-04-26T10:04:23Z</cp:lastPrinted>
  <dcterms:created xsi:type="dcterms:W3CDTF">2008-11-13T09:55:22Z</dcterms:created>
  <dcterms:modified xsi:type="dcterms:W3CDTF">2022-03-15T08:24:09Z</dcterms:modified>
</cp:coreProperties>
</file>